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0. 임선영컴퓨터\35. 물품구입(수리 포함)\220905_학교밖전용공사 입찰\1. 최종 공고문\"/>
    </mc:Choice>
  </mc:AlternateContent>
  <xr:revisionPtr revIDLastSave="0" documentId="13_ncr:1_{3BB72F57-791D-4761-BE72-D3464EC3E9E2}" xr6:coauthVersionLast="36" xr6:coauthVersionMax="36" xr10:uidLastSave="{00000000-0000-0000-0000-000000000000}"/>
  <bookViews>
    <workbookView xWindow="-28920" yWindow="-120" windowWidth="29040" windowHeight="15840" tabRatio="785" xr2:uid="{00000000-000D-0000-FFFF-FFFF00000000}"/>
  </bookViews>
  <sheets>
    <sheet name="내역서갑지" sheetId="6" r:id="rId1"/>
    <sheet name="원가계산서(건축)" sheetId="7" r:id="rId2"/>
    <sheet name="공종별집계표" sheetId="3" r:id="rId3"/>
    <sheet name="일위대가목록" sheetId="9" r:id="rId4"/>
    <sheet name="내역서" sheetId="5" r:id="rId5"/>
    <sheet name="일위대가" sheetId="10" r:id="rId6"/>
    <sheet name="물량산출서" sheetId="12" r:id="rId7"/>
    <sheet name="단가대비표" sheetId="11" r:id="rId8"/>
    <sheet name="용천상사" sheetId="14" r:id="rId9"/>
    <sheet name="예승유리" sheetId="19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3EE2_" localSheetId="0" hidden="1">{#N/A,#N/A,FALSE,"단가표지"}</definedName>
    <definedName name="_3EE2_" localSheetId="1" hidden="1">{#N/A,#N/A,FALSE,"단가표지"}</definedName>
    <definedName name="_3EE2_" hidden="1">{#N/A,#N/A,FALSE,"단가표지"}</definedName>
    <definedName name="_Dist_Bin" localSheetId="0" hidden="1">#REF!</definedName>
    <definedName name="_Dist_Bin" localSheetId="1" hidden="1">#REF!</definedName>
    <definedName name="_Dist_Bin" hidden="1">#REF!</definedName>
    <definedName name="_Dist_Values" hidden="1">#REF!</definedName>
    <definedName name="_EE2" localSheetId="0" hidden="1">{#N/A,#N/A,FALSE,"단가표지"}</definedName>
    <definedName name="_EE2" localSheetId="1" hidden="1">{#N/A,#N/A,FALSE,"단가표지"}</definedName>
    <definedName name="_EE2" hidden="1">{#N/A,#N/A,FALSE,"단가표지"}</definedName>
    <definedName name="_Fill" hidden="1">#REF!</definedName>
    <definedName name="_xlnm._FilterDatabase" localSheetId="7" hidden="1">단가대비표!$A$1:$A$106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[1]내역서!#REF!</definedName>
    <definedName name="_Key2" localSheetId="1" hidden="1">[1]내역서!#REF!</definedName>
    <definedName name="_Key2" hidden="1">[1]내역서!#REF!</definedName>
    <definedName name="_Order1" hidden="1">255</definedName>
    <definedName name="_Order2" hidden="1">255</definedName>
    <definedName name="_Parse_In" localSheetId="0" hidden="1">#REF!</definedName>
    <definedName name="_Parse_In" localSheetId="1" hidden="1">#REF!</definedName>
    <definedName name="_Parse_In" hidden="1">#REF!</definedName>
    <definedName name="_Parse_Out" localSheetId="0" hidden="1">[2]갑지!#REF!</definedName>
    <definedName name="_Parse_Out" localSheetId="1" hidden="1">[2]갑지!#REF!</definedName>
    <definedName name="_Parse_Out" hidden="1">[2]갑지!#REF!</definedName>
    <definedName name="_Regression_Int" hidden="1">1</definedName>
    <definedName name="_Regression_X" localSheetId="0" hidden="1">#REF!</definedName>
    <definedName name="_Regression_X" localSheetId="1" hidden="1">#REF!</definedName>
    <definedName name="_Regression_X" hidden="1">#REF!</definedName>
    <definedName name="_Sort" hidden="1">#REF!</definedName>
    <definedName name="_Table1_In1" hidden="1">#REF!</definedName>
    <definedName name="_Table1_Out" hidden="1">#REF!</definedName>
    <definedName name="AAAA" localSheetId="0" hidden="1">[3]입찰안!#REF!</definedName>
    <definedName name="AAAA" localSheetId="1" hidden="1">[3]입찰안!#REF!</definedName>
    <definedName name="AAAA" hidden="1">[3]입찰안!#REF!</definedName>
    <definedName name="ACDA" localSheetId="0" hidden="1">[4]GAEYO!#REF!</definedName>
    <definedName name="ACDA" localSheetId="1" hidden="1">[4]GAEYO!#REF!</definedName>
    <definedName name="ACDA" hidden="1">[4]GAEYO!#REF!</definedName>
    <definedName name="ADC" localSheetId="0" hidden="1">#REF!</definedName>
    <definedName name="ADC" localSheetId="1" hidden="1">#REF!</definedName>
    <definedName name="ADC" hidden="1">#REF!</definedName>
    <definedName name="ADFF" hidden="1">#REF!</definedName>
    <definedName name="ADSFDSF" localSheetId="0" hidden="1">'[5]갑지(추정)'!#REF!</definedName>
    <definedName name="ADSFDSF" localSheetId="1" hidden="1">'[5]갑지(추정)'!#REF!</definedName>
    <definedName name="ADSFDSF" hidden="1">'[5]갑지(추정)'!#REF!</definedName>
    <definedName name="ADSFFDS" localSheetId="0" hidden="1">'[5]갑지(추정)'!#REF!</definedName>
    <definedName name="ADSFFDS" localSheetId="1" hidden="1">'[5]갑지(추정)'!#REF!</definedName>
    <definedName name="ADSFFDS" hidden="1">'[5]갑지(추정)'!#REF!</definedName>
    <definedName name="AFD" localSheetId="0" hidden="1">#REF!</definedName>
    <definedName name="AFD" localSheetId="1" hidden="1">#REF!</definedName>
    <definedName name="AFD" hidden="1">#REF!</definedName>
    <definedName name="AFDFD" localSheetId="0" hidden="1">'[5]갑지(추정)'!#REF!</definedName>
    <definedName name="AFDFD" localSheetId="1" hidden="1">'[5]갑지(추정)'!#REF!</definedName>
    <definedName name="AFDFD" hidden="1">'[5]갑지(추정)'!#REF!</definedName>
    <definedName name="as" localSheetId="0" hidden="1">[6]갑지1!#REF!</definedName>
    <definedName name="as" localSheetId="1" hidden="1">[6]갑지1!#REF!</definedName>
    <definedName name="as" hidden="1">[6]갑지1!#REF!</definedName>
    <definedName name="ASDFFD" localSheetId="0" hidden="1">#REF!</definedName>
    <definedName name="ASDFFD" localSheetId="1" hidden="1">#REF!</definedName>
    <definedName name="ASDFFD" hidden="1">#REF!</definedName>
    <definedName name="DE" localSheetId="0" hidden="1">'[7]갑지(추정)'!#REF!</definedName>
    <definedName name="DE" localSheetId="1" hidden="1">'[7]갑지(추정)'!#REF!</definedName>
    <definedName name="DE" hidden="1">'[7]갑지(추정)'!#REF!</definedName>
    <definedName name="DFS" localSheetId="0" hidden="1">'[5]갑지(추정)'!#REF!</definedName>
    <definedName name="DFS" localSheetId="1" hidden="1">'[5]갑지(추정)'!#REF!</definedName>
    <definedName name="DFS" hidden="1">'[5]갑지(추정)'!#REF!</definedName>
    <definedName name="DH" hidden="1">'[8]#REF'!$A$5:$A$36</definedName>
    <definedName name="DUT" localSheetId="0" hidden="1">'[9]갑지(추정)'!#REF!</definedName>
    <definedName name="DUT" localSheetId="1" hidden="1">'[9]갑지(추정)'!#REF!</definedName>
    <definedName name="DUT" hidden="1">'[9]갑지(추정)'!#REF!</definedName>
    <definedName name="ee" localSheetId="0" hidden="1">{#N/A,#N/A,FALSE,"단가표지"}</definedName>
    <definedName name="ee" localSheetId="1" hidden="1">{#N/A,#N/A,FALSE,"단가표지"}</definedName>
    <definedName name="ee" hidden="1">{#N/A,#N/A,FALSE,"단가표지"}</definedName>
    <definedName name="EK" localSheetId="0" hidden="1">#REF!</definedName>
    <definedName name="EK" localSheetId="1" hidden="1">#REF!</definedName>
    <definedName name="EK" hidden="1">#REF!</definedName>
    <definedName name="GUS" localSheetId="0" hidden="1">{#N/A,#N/A,FALSE,"현장 NCR 분석";#N/A,#N/A,FALSE,"현장품질감사";#N/A,#N/A,FALSE,"현장품질감사"}</definedName>
    <definedName name="GUS" localSheetId="1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HGFSTAA" localSheetId="0" hidden="1">#REF!</definedName>
    <definedName name="HGFSTAA" localSheetId="1" hidden="1">#REF!</definedName>
    <definedName name="HGFSTAA" hidden="1">#REF!</definedName>
    <definedName name="HTML_CodePage" hidden="1">949</definedName>
    <definedName name="HTML_Control" localSheetId="0" hidden="1">{"'Sheet1'!$A$22:$G$23","'Sheet1'!$A$6","'Sheet1'!$E$10","'Sheet1'!$A$1:$F$23","'Sheet1'!$B$10","'Sheet1'!$A$1:$G$22","'Sheet1'!$A$1:$G$51"}</definedName>
    <definedName name="HTML_Control" localSheetId="1" hidden="1">{"'Sheet1'!$A$22:$G$23","'Sheet1'!$A$6","'Sheet1'!$E$10","'Sheet1'!$A$1:$F$23","'Sheet1'!$B$10","'Sheet1'!$A$1:$G$22","'Sheet1'!$A$1:$G$51"}</definedName>
    <definedName name="HTML_Control" hidden="1">{"'Sheet1'!$A$22:$G$23","'Sheet1'!$A$6","'Sheet1'!$E$10","'Sheet1'!$A$1:$F$23","'Sheet1'!$B$10","'Sheet1'!$A$1:$G$22","'Sheet1'!$A$1:$G$51"}</definedName>
    <definedName name="HTML_Description" hidden="1">""</definedName>
    <definedName name="HTML_Email" hidden="1">""</definedName>
    <definedName name="HTML_Header" hidden="1">"Sheet1"</definedName>
    <definedName name="HTML_LastUpdate" hidden="1">"99-06-18"</definedName>
    <definedName name="HTML_LineAfter" hidden="1">FALSE</definedName>
    <definedName name="HTML_LineBefore" hidden="1">FALSE</definedName>
    <definedName name="HTML_Name" hidden="1">"(주)새암건축"</definedName>
    <definedName name="HTML_OBDlg2" hidden="1">TRUE</definedName>
    <definedName name="HTML_OBDlg4" hidden="1">TRUE</definedName>
    <definedName name="HTML_OS" hidden="1">0</definedName>
    <definedName name="HTML_PathFile" hidden="1">"C:\가\f.htm"</definedName>
    <definedName name="HTML_Title" hidden="1">"Book2"</definedName>
    <definedName name="JK" localSheetId="0" hidden="1">{#N/A,#N/A,FALSE,"현장 NCR 분석";#N/A,#N/A,FALSE,"현장품질감사";#N/A,#N/A,FALSE,"현장품질감사"}</definedName>
    <definedName name="JK" localSheetId="1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kk" localSheetId="0" hidden="1">#REF!</definedName>
    <definedName name="kk" localSheetId="1" hidden="1">#REF!</definedName>
    <definedName name="kk" hidden="1">#REF!</definedName>
    <definedName name="kkk" hidden="1">[10]Total!#REF!</definedName>
    <definedName name="ONP" hidden="1">#REF!</definedName>
    <definedName name="_xlnm.Print_Area" localSheetId="2">공종별집계표!$A$1:$M$24</definedName>
    <definedName name="_xlnm.Print_Area" localSheetId="0">내역서갑지!$A$1:$P$17</definedName>
    <definedName name="_xlnm.Print_Area" localSheetId="7">단가대비표!$A$1:$U$91</definedName>
    <definedName name="_xlnm.Print_Area" localSheetId="6">물량산출서!$A$1:$G$51</definedName>
    <definedName name="_xlnm.Print_Area" localSheetId="1">'원가계산서(건축)'!$A$1:$G$37</definedName>
    <definedName name="_xlnm.Print_Area" localSheetId="5">일위대가!$A$1:$M$241</definedName>
    <definedName name="_xlnm.Print_Titles" localSheetId="4">내역서!$1:$2</definedName>
    <definedName name="_xlnm.Print_Titles" localSheetId="7">단가대비표!$1:$2</definedName>
    <definedName name="_xlnm.Print_Titles" localSheetId="6">물량산출서!$1:$1</definedName>
    <definedName name="_xlnm.Print_Titles" localSheetId="5">일위대가!$2:$3</definedName>
    <definedName name="_xlnm.Print_Titles" localSheetId="3">일위대가목록!$1:$2</definedName>
    <definedName name="qedgagsd" localSheetId="0" hidden="1">#REF!</definedName>
    <definedName name="qedgagsd" localSheetId="1" hidden="1">#REF!</definedName>
    <definedName name="qedgagsd" hidden="1">#REF!</definedName>
    <definedName name="qewewre" localSheetId="0" hidden="1">'[11]갑지(추정)'!#REF!</definedName>
    <definedName name="qewewre" localSheetId="1" hidden="1">'[11]갑지(추정)'!#REF!</definedName>
    <definedName name="qewewre" hidden="1">'[11]갑지(추정)'!#REF!</definedName>
    <definedName name="qq" localSheetId="0" hidden="1">{#N/A,#N/A,FALSE,"단가표지"}</definedName>
    <definedName name="qq" localSheetId="1" hidden="1">{#N/A,#N/A,FALSE,"단가표지"}</definedName>
    <definedName name="qq" hidden="1">{#N/A,#N/A,FALSE,"단가표지"}</definedName>
    <definedName name="QQQ" localSheetId="0" hidden="1">{#N/A,#N/A,FALSE,"운반시간"}</definedName>
    <definedName name="QQQ" localSheetId="1" hidden="1">{#N/A,#N/A,FALSE,"운반시간"}</definedName>
    <definedName name="QQQ" hidden="1">{#N/A,#N/A,FALSE,"운반시간"}</definedName>
    <definedName name="qrqer" localSheetId="0" hidden="1">#REF!</definedName>
    <definedName name="qrqer" localSheetId="1" hidden="1">#REF!</definedName>
    <definedName name="qrqer" hidden="1">#REF!</definedName>
    <definedName name="qw" localSheetId="0" hidden="1">{#N/A,#N/A,FALSE,"단가표지"}</definedName>
    <definedName name="qw" localSheetId="1" hidden="1">{#N/A,#N/A,FALSE,"단가표지"}</definedName>
    <definedName name="qw" hidden="1">{#N/A,#N/A,FALSE,"단가표지"}</definedName>
    <definedName name="qwerdg" hidden="1">'[5]갑지(추정)'!#REF!</definedName>
    <definedName name="wm.조골재1" localSheetId="0" hidden="1">{#N/A,#N/A,FALSE,"조골재"}</definedName>
    <definedName name="wm.조골재1" localSheetId="1" hidden="1">{#N/A,#N/A,FALSE,"조골재"}</definedName>
    <definedName name="wm.조골재1" hidden="1">{#N/A,#N/A,FALSE,"조골재"}</definedName>
    <definedName name="wrn.2번." localSheetId="0" hidden="1">{#N/A,#N/A,FALSE,"2~8번"}</definedName>
    <definedName name="wrn.2번." localSheetId="1" hidden="1">{#N/A,#N/A,FALSE,"2~8번"}</definedName>
    <definedName name="wrn.2번." hidden="1">{#N/A,#N/A,FALSE,"2~8번"}</definedName>
    <definedName name="wrn.건설기계사업소._.상반기보고." localSheetId="0" hidden="1">{#N/A,#N/A,FALSE,"사업총괄";#N/A,#N/A,FALSE,"장비사업";#N/A,#N/A,FALSE,"철구사업";#N/A,#N/A,FALSE,"준설사업"}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골재소요량." localSheetId="0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localSheetId="1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localSheetId="1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localSheetId="1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localSheetId="1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localSheetId="1" hidden="1">{#N/A,#N/A,FALSE,"배수2"}</definedName>
    <definedName name="wrn.배수2." hidden="1">{#N/A,#N/A,FALSE,"배수2"}</definedName>
    <definedName name="wrn.변경예산." localSheetId="0" hidden="1">{#N/A,#N/A,FALSE,"변경관리예산";#N/A,#N/A,FALSE,"변경장비예산";#N/A,#N/A,FALSE,"변경준설예산";#N/A,#N/A,FALSE,"변경철구예산"}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대1." localSheetId="0" hidden="1">{#N/A,#N/A,FALSE,"부대1"}</definedName>
    <definedName name="wrn.부대1." localSheetId="1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localSheetId="1" hidden="1">{#N/A,#N/A,FALSE,"부대2"}</definedName>
    <definedName name="wrn.부대2." hidden="1">{#N/A,#N/A,FALSE,"부대2"}</definedName>
    <definedName name="wrn.사업현황." localSheetId="0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속도." localSheetId="0" hidden="1">{#N/A,#N/A,FALSE,"속도"}</definedName>
    <definedName name="wrn.속도." localSheetId="1" hidden="1">{#N/A,#N/A,FALSE,"속도"}</definedName>
    <definedName name="wrn.속도." hidden="1">{#N/A,#N/A,FALSE,"속도"}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예상손익." localSheetId="0" hidden="1">{#N/A,#N/A,FALSE,"예상손익";#N/A,#N/A,FALSE,"관리분석";#N/A,#N/A,FALSE,"장비분석";#N/A,#N/A,FALSE,"준설분석";#N/A,#N/A,FALSE,"철구분석"}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localSheetId="0" hidden="1">{#N/A,#N/A,FALSE,"운반시간"}</definedName>
    <definedName name="wrn.운반시간." localSheetId="1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localSheetId="1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localSheetId="1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localSheetId="1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localSheetId="1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localSheetId="1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localSheetId="1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localSheetId="1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localSheetId="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localSheetId="1" hidden="1">{#N/A,#N/A,FALSE,"혼합골재"}</definedName>
    <definedName name="wrn.혼합골재." hidden="1">{#N/A,#N/A,FALSE,"혼합골재"}</definedName>
    <definedName name="Y" hidden="1">'[7]갑지(추정)'!#REF!</definedName>
    <definedName name="ytrytwyt" localSheetId="0" hidden="1">#REF!</definedName>
    <definedName name="ytrytwyt" localSheetId="1" hidden="1">#REF!</definedName>
    <definedName name="ytrytwyt" hidden="1">#REF!</definedName>
    <definedName name="갑지" hidden="1">#REF!</definedName>
    <definedName name="견적서" localSheetId="0" hidden="1">{#N/A,#N/A,FALSE,"구조2"}</definedName>
    <definedName name="견적서" localSheetId="1" hidden="1">{#N/A,#N/A,FALSE,"구조2"}</definedName>
    <definedName name="견적서" hidden="1">{#N/A,#N/A,FALSE,"구조2"}</definedName>
    <definedName name="견적조건2" localSheetId="0" hidden="1">'[12]갑지(추정)'!#REF!</definedName>
    <definedName name="견적조건2" localSheetId="1" hidden="1">'[12]갑지(추정)'!#REF!</definedName>
    <definedName name="견적조건2" hidden="1">'[12]갑지(추정)'!#REF!</definedName>
    <definedName name="경상비" hidden="1">[13]개산공사비!#REF!</definedName>
    <definedName name="공" localSheetId="0" hidden="1">{#N/A,#N/A,FALSE,"현장 NCR 분석";#N/A,#N/A,FALSE,"현장품질감사";#N/A,#N/A,FALSE,"현장품질감사"}</definedName>
    <definedName name="공" localSheetId="1" hidden="1">{#N/A,#N/A,FALSE,"현장 NCR 분석";#N/A,#N/A,FALSE,"현장품질감사";#N/A,#N/A,FALSE,"현장품질감사"}</definedName>
    <definedName name="공" hidden="1">{#N/A,#N/A,FALSE,"현장 NCR 분석";#N/A,#N/A,FALSE,"현장품질감사";#N/A,#N/A,FALSE,"현장품질감사"}</definedName>
    <definedName name="공정표" localSheetId="0" hidden="1">{#N/A,#N/A,FALSE,"현장 NCR 분석";#N/A,#N/A,FALSE,"현장품질감사";#N/A,#N/A,FALSE,"현장품질감사"}</definedName>
    <definedName name="공정표" localSheetId="1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ㄹㄹㄹ" localSheetId="0" hidden="1">#REF!</definedName>
    <definedName name="ㄹㄹㄹ" localSheetId="1" hidden="1">#REF!</definedName>
    <definedName name="ㄹㄹㄹ" hidden="1">#REF!</definedName>
    <definedName name="마감일란" localSheetId="0" hidden="1">'[12]갑지(추정)'!#REF!</definedName>
    <definedName name="마감일란" localSheetId="1" hidden="1">'[12]갑지(추정)'!#REF!</definedName>
    <definedName name="마감일란" hidden="1">'[12]갑지(추정)'!#REF!</definedName>
    <definedName name="바보" localSheetId="0" hidden="1">{#N/A,#N/A,FALSE,"운반시간"}</definedName>
    <definedName name="바보" localSheetId="1" hidden="1">{#N/A,#N/A,FALSE,"운반시간"}</definedName>
    <definedName name="바보" hidden="1">{#N/A,#N/A,FALSE,"운반시간"}</definedName>
    <definedName name="봉식결재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봉식결재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" localSheetId="0" hidden="1">{#N/A,#N/A,FALSE,"현장 NCR 분석";#N/A,#N/A,FALSE,"현장품질감사";#N/A,#N/A,FALSE,"현장품질감사"}</definedName>
    <definedName name="부" localSheetId="1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대입찰서류작성" hidden="1">'[14]갑지(추정)'!#REF!</definedName>
    <definedName name="부손익" localSheetId="0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석변경" localSheetId="0" hidden="1">{#N/A,#N/A,FALSE,"변경관리예산";#N/A,#N/A,FALSE,"변경장비예산";#N/A,#N/A,FALSE,"변경준설예산";#N/A,#N/A,FALSE,"변경철구예산"}</definedName>
    <definedName name="분석변경" localSheetId="1" hidden="1">{#N/A,#N/A,FALSE,"변경관리예산";#N/A,#N/A,FALSE,"변경장비예산";#N/A,#N/A,FALSE,"변경준설예산";#N/A,#N/A,FALSE,"변경철구예산"}</definedName>
    <definedName name="분석변경" hidden="1">{#N/A,#N/A,FALSE,"변경관리예산";#N/A,#N/A,FALSE,"변경장비예산";#N/A,#N/A,FALSE,"변경준설예산";#N/A,#N/A,FALSE,"변경철구예산"}</definedName>
    <definedName name="사사" localSheetId="0" hidden="1">{#N/A,#N/A,FALSE,"운반시간"}</definedName>
    <definedName name="사사" localSheetId="1" hidden="1">{#N/A,#N/A,FALSE,"운반시간"}</definedName>
    <definedName name="사사" hidden="1">{#N/A,#N/A,FALSE,"운반시간"}</definedName>
    <definedName name="수" localSheetId="0" hidden="1">#REF!</definedName>
    <definedName name="수" localSheetId="1" hidden="1">#REF!</definedName>
    <definedName name="수" hidden="1">#REF!</definedName>
    <definedName name="실시공내역" hidden="1">[15]콘크리트타설집계표!#REF!</definedName>
    <definedName name="실행대비집계표" localSheetId="0" hidden="1">{#N/A,#N/A,FALSE,"운반시간"}</definedName>
    <definedName name="실행대비집계표" localSheetId="1" hidden="1">{#N/A,#N/A,FALSE,"운반시간"}</definedName>
    <definedName name="실행대비집계표" hidden="1">{#N/A,#N/A,FALSE,"운반시간"}</definedName>
    <definedName name="ㅇ" hidden="1">'[16]갑지(추정)'!#REF!</definedName>
    <definedName name="ㅇㄹ" localSheetId="0" hidden="1">#REF!</definedName>
    <definedName name="ㅇㄹ" localSheetId="1" hidden="1">#REF!</definedName>
    <definedName name="ㅇㄹ" hidden="1">#REF!</definedName>
    <definedName name="ㅇㄹㄹ" hidden="1">#REF!</definedName>
    <definedName name="ㅇㅇ" hidden="1">#REF!</definedName>
    <definedName name="아" localSheetId="0" hidden="1">{"'터널공'!$A$177:$A$186"}</definedName>
    <definedName name="아" localSheetId="1" hidden="1">{"'터널공'!$A$177:$A$186"}</definedName>
    <definedName name="아" hidden="1">{"'터널공'!$A$177:$A$186"}</definedName>
    <definedName name="아무거나" localSheetId="0" hidden="1">#REF!</definedName>
    <definedName name="아무거나" localSheetId="1" hidden="1">#REF!</definedName>
    <definedName name="아무거나" hidden="1">#REF!</definedName>
    <definedName name="양재승2222222" hidden="1">[17]차액보증!#REF!</definedName>
    <definedName name="우곡3교" localSheetId="0" hidden="1">'[18]집 계 표'!#REF!</definedName>
    <definedName name="우곡3교" localSheetId="1" hidden="1">'[18]집 계 표'!#REF!</definedName>
    <definedName name="우곡3교" hidden="1">'[18]집 계 표'!#REF!</definedName>
    <definedName name="원가1" localSheetId="0" hidden="1">{#N/A,#N/A,FALSE,"현장 NCR 분석";#N/A,#N/A,FALSE,"현장품질감사";#N/A,#N/A,FALSE,"현장품질감사"}</definedName>
    <definedName name="원가1" localSheetId="1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가계산1" localSheetId="0" hidden="1">{#N/A,#N/A,FALSE,"단가표지"}</definedName>
    <definedName name="원가계산1" localSheetId="1" hidden="1">{#N/A,#N/A,FALSE,"단가표지"}</definedName>
    <definedName name="원가계산1" hidden="1">{#N/A,#N/A,FALSE,"단가표지"}</definedName>
    <definedName name="임직" hidden="1">[19]개산공사비!#REF!</definedName>
    <definedName name="조사가" hidden="1">[20]입찰안!#REF!</definedName>
    <definedName name="철골협의" localSheetId="0" hidden="1">{#N/A,#N/A,FALSE,"현장 NCR 분석";#N/A,#N/A,FALSE,"현장품질감사";#N/A,#N/A,FALSE,"현장품질감사"}</definedName>
    <definedName name="철골협의" localSheetId="1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토목설계" localSheetId="0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hidden="1">{#N/A,#N/A,FALSE,"골재소요량";#N/A,#N/A,FALSE,"골재소요량"}</definedName>
    <definedName name="ㅍ" localSheetId="0" hidden="1">'[21]갑지(추정)'!#REF!</definedName>
    <definedName name="ㅍ" localSheetId="1" hidden="1">'[21]갑지(추정)'!#REF!</definedName>
    <definedName name="ㅍ" hidden="1">'[21]갑지(추정)'!#REF!</definedName>
    <definedName name="ㅍㅍㅍ" hidden="1">'[12]갑지(추정)'!#REF!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6" l="1"/>
  <c r="F8" i="6"/>
  <c r="M74" i="5" l="1"/>
  <c r="K74" i="5"/>
  <c r="I74" i="5"/>
  <c r="G74" i="5"/>
  <c r="L79" i="11"/>
  <c r="E171" i="10"/>
  <c r="L26" i="11"/>
  <c r="E233" i="10" s="1"/>
  <c r="E11" i="12"/>
  <c r="E9" i="12"/>
  <c r="E10" i="12"/>
  <c r="E27" i="12"/>
  <c r="E18" i="12"/>
  <c r="E26" i="12"/>
  <c r="J72" i="5"/>
  <c r="J71" i="5"/>
  <c r="L72" i="5"/>
  <c r="M72" i="5" s="1"/>
  <c r="L71" i="5"/>
  <c r="M71" i="5" s="1"/>
  <c r="K72" i="5"/>
  <c r="K71" i="5"/>
  <c r="I71" i="5"/>
  <c r="H71" i="5"/>
  <c r="G71" i="5"/>
  <c r="F71" i="5"/>
  <c r="D31" i="7" l="1"/>
  <c r="E13" i="12" l="1"/>
  <c r="E12" i="12"/>
  <c r="E67" i="5"/>
  <c r="L19" i="11"/>
  <c r="G234" i="10" s="1"/>
  <c r="E46" i="12"/>
  <c r="E44" i="12"/>
  <c r="E43" i="12"/>
  <c r="E32" i="12"/>
  <c r="E47" i="5" s="1"/>
  <c r="E31" i="12"/>
  <c r="E46" i="5" s="1"/>
  <c r="D157" i="10"/>
  <c r="H157" i="10" s="1"/>
  <c r="I158" i="10"/>
  <c r="J158" i="10" s="1"/>
  <c r="D158" i="10"/>
  <c r="D152" i="10"/>
  <c r="J152" i="10" s="1"/>
  <c r="D153" i="10"/>
  <c r="H152" i="10" l="1"/>
  <c r="J157" i="10"/>
  <c r="J160" i="10" s="1"/>
  <c r="G35" i="9" s="1"/>
  <c r="J47" i="5" s="1"/>
  <c r="K47" i="5" s="1"/>
  <c r="J125" i="10" l="1"/>
  <c r="E24" i="12"/>
  <c r="E33" i="12"/>
  <c r="E23" i="12"/>
  <c r="L80" i="11"/>
  <c r="E191" i="10" s="1"/>
  <c r="F191" i="10" s="1"/>
  <c r="F195" i="10" s="1"/>
  <c r="J193" i="10"/>
  <c r="J192" i="10"/>
  <c r="J191" i="10"/>
  <c r="H191" i="10"/>
  <c r="E39" i="12"/>
  <c r="E55" i="5" s="1"/>
  <c r="E22" i="12"/>
  <c r="E36" i="5" s="1"/>
  <c r="E45" i="12"/>
  <c r="E40" i="12"/>
  <c r="E38" i="12"/>
  <c r="E52" i="5"/>
  <c r="E30" i="12"/>
  <c r="E31" i="5"/>
  <c r="E25" i="12"/>
  <c r="E21" i="12"/>
  <c r="J78" i="10"/>
  <c r="L77" i="11"/>
  <c r="E67" i="10" s="1"/>
  <c r="K67" i="10" s="1"/>
  <c r="J71" i="10"/>
  <c r="J70" i="10"/>
  <c r="J69" i="10"/>
  <c r="J68" i="10"/>
  <c r="H68" i="10"/>
  <c r="J67" i="10"/>
  <c r="H67" i="10"/>
  <c r="E17" i="12"/>
  <c r="E6" i="12"/>
  <c r="E5" i="12"/>
  <c r="E4" i="12"/>
  <c r="J195" i="10" l="1"/>
  <c r="J55" i="5" s="1"/>
  <c r="K55" i="5" s="1"/>
  <c r="I127" i="10"/>
  <c r="J127" i="10" s="1"/>
  <c r="J129" i="10" s="1"/>
  <c r="G29" i="9"/>
  <c r="F55" i="5"/>
  <c r="G55" i="5" s="1"/>
  <c r="E42" i="9"/>
  <c r="K191" i="10"/>
  <c r="L191" i="10"/>
  <c r="F67" i="10"/>
  <c r="J73" i="10"/>
  <c r="G21" i="9" s="1"/>
  <c r="G42" i="9" l="1"/>
  <c r="I153" i="10"/>
  <c r="G30" i="9"/>
  <c r="L67" i="10"/>
  <c r="B3" i="5" l="1"/>
  <c r="L48" i="11" l="1"/>
  <c r="J233" i="10"/>
  <c r="L18" i="11"/>
  <c r="F233" i="10"/>
  <c r="J234" i="10"/>
  <c r="F234" i="10"/>
  <c r="H234" i="10" l="1"/>
  <c r="L234" i="10" s="1"/>
  <c r="J236" i="10"/>
  <c r="G52" i="9" s="1"/>
  <c r="J67" i="5" s="1"/>
  <c r="K233" i="10"/>
  <c r="L233" i="10"/>
  <c r="F236" i="10"/>
  <c r="E52" i="9" s="1"/>
  <c r="K234" i="10" l="1"/>
  <c r="F67" i="5"/>
  <c r="E54" i="5" l="1"/>
  <c r="L21" i="11"/>
  <c r="E185" i="10" s="1"/>
  <c r="L31" i="11"/>
  <c r="E178" i="10" s="1"/>
  <c r="K178" i="10" s="1"/>
  <c r="J180" i="10"/>
  <c r="F180" i="10"/>
  <c r="J179" i="10"/>
  <c r="H179" i="10"/>
  <c r="J178" i="10"/>
  <c r="H178" i="10"/>
  <c r="F171" i="10"/>
  <c r="J173" i="10"/>
  <c r="J172" i="10"/>
  <c r="J171" i="10"/>
  <c r="H171" i="10"/>
  <c r="I165" i="10"/>
  <c r="J76" i="11"/>
  <c r="L76" i="11" s="1"/>
  <c r="E165" i="10" s="1"/>
  <c r="F165" i="10" s="1"/>
  <c r="J163" i="10"/>
  <c r="J162" i="10"/>
  <c r="F164" i="10"/>
  <c r="J176" i="10" l="1"/>
  <c r="G39" i="9" s="1"/>
  <c r="J52" i="5" s="1"/>
  <c r="K52" i="5" s="1"/>
  <c r="L171" i="10"/>
  <c r="J183" i="10"/>
  <c r="G40" i="9" s="1"/>
  <c r="J53" i="5" s="1"/>
  <c r="K53" i="5" s="1"/>
  <c r="F178" i="10"/>
  <c r="L178" i="10" s="1"/>
  <c r="K171" i="10"/>
  <c r="K165" i="10"/>
  <c r="J165" i="10"/>
  <c r="L165" i="10" s="1"/>
  <c r="D17" i="7" l="1"/>
  <c r="G67" i="5"/>
  <c r="G69" i="5" s="1"/>
  <c r="E48" i="5"/>
  <c r="I166" i="10"/>
  <c r="J166" i="10" s="1"/>
  <c r="H164" i="10"/>
  <c r="E45" i="5"/>
  <c r="E22" i="5"/>
  <c r="E62" i="5"/>
  <c r="D222" i="10"/>
  <c r="J222" i="10" s="1"/>
  <c r="D221" i="10"/>
  <c r="J221" i="10" s="1"/>
  <c r="J223" i="10"/>
  <c r="H223" i="10"/>
  <c r="J220" i="10"/>
  <c r="L28" i="11"/>
  <c r="E108" i="10" s="1"/>
  <c r="K108" i="10" s="1"/>
  <c r="J111" i="10"/>
  <c r="J110" i="10"/>
  <c r="F110" i="10"/>
  <c r="J109" i="10"/>
  <c r="F109" i="10"/>
  <c r="J108" i="10"/>
  <c r="H108" i="10"/>
  <c r="E41" i="5"/>
  <c r="H92" i="10"/>
  <c r="J92" i="10"/>
  <c r="D94" i="10"/>
  <c r="J94" i="10" s="1"/>
  <c r="D93" i="10"/>
  <c r="J93" i="10" s="1"/>
  <c r="J96" i="10"/>
  <c r="J95" i="10"/>
  <c r="J91" i="10"/>
  <c r="H91" i="10"/>
  <c r="E38" i="5"/>
  <c r="E37" i="5"/>
  <c r="J87" i="10"/>
  <c r="J86" i="10"/>
  <c r="J85" i="10"/>
  <c r="J84" i="10"/>
  <c r="J83" i="10"/>
  <c r="H83" i="10"/>
  <c r="E35" i="5"/>
  <c r="J79" i="10"/>
  <c r="J77" i="10"/>
  <c r="J76" i="10"/>
  <c r="J75" i="10"/>
  <c r="H75" i="10"/>
  <c r="L33" i="11"/>
  <c r="E49" i="10" s="1"/>
  <c r="E25" i="5"/>
  <c r="E24" i="5"/>
  <c r="E23" i="5"/>
  <c r="E14" i="3" l="1"/>
  <c r="F14" i="3" s="1"/>
  <c r="G12" i="5"/>
  <c r="J81" i="10"/>
  <c r="J98" i="10"/>
  <c r="G24" i="9" s="1"/>
  <c r="J38" i="5" s="1"/>
  <c r="K38" i="5" s="1"/>
  <c r="J113" i="10"/>
  <c r="G26" i="9" s="1"/>
  <c r="J41" i="5" s="1"/>
  <c r="K41" i="5" s="1"/>
  <c r="J225" i="10"/>
  <c r="G48" i="9" s="1"/>
  <c r="J62" i="5" s="1"/>
  <c r="K62" i="5" s="1"/>
  <c r="F108" i="10"/>
  <c r="J89" i="10"/>
  <c r="G23" i="9" s="1"/>
  <c r="J37" i="5" s="1"/>
  <c r="K37" i="5" s="1"/>
  <c r="J35" i="5" l="1"/>
  <c r="K35" i="5" s="1"/>
  <c r="G22" i="9"/>
  <c r="J36" i="5" s="1"/>
  <c r="K36" i="5" s="1"/>
  <c r="K67" i="5"/>
  <c r="K69" i="5" s="1"/>
  <c r="L108" i="10"/>
  <c r="I14" i="3" l="1"/>
  <c r="J14" i="3" l="1"/>
  <c r="J45" i="10"/>
  <c r="J44" i="10"/>
  <c r="F44" i="10"/>
  <c r="J47" i="10" l="1"/>
  <c r="G14" i="9" s="1"/>
  <c r="J26" i="5" s="1"/>
  <c r="F47" i="10"/>
  <c r="E14" i="9" s="1"/>
  <c r="F26" i="5" s="1"/>
  <c r="J40" i="10"/>
  <c r="J39" i="10"/>
  <c r="F39" i="10"/>
  <c r="J38" i="10"/>
  <c r="F38" i="10"/>
  <c r="J28" i="10"/>
  <c r="J27" i="10"/>
  <c r="F27" i="10"/>
  <c r="J26" i="10"/>
  <c r="F26" i="10"/>
  <c r="J42" i="10" l="1"/>
  <c r="G13" i="9" s="1"/>
  <c r="J25" i="5" s="1"/>
  <c r="K25" i="5" s="1"/>
  <c r="J30" i="10"/>
  <c r="G11" i="9" s="1"/>
  <c r="J23" i="5" s="1"/>
  <c r="K23" i="5" s="1"/>
  <c r="J34" i="10" l="1"/>
  <c r="J33" i="10"/>
  <c r="F33" i="10"/>
  <c r="J32" i="10"/>
  <c r="F32" i="10"/>
  <c r="J22" i="10"/>
  <c r="J21" i="10"/>
  <c r="F21" i="10"/>
  <c r="J20" i="10"/>
  <c r="F20" i="10"/>
  <c r="J36" i="10" l="1"/>
  <c r="G12" i="9" s="1"/>
  <c r="J24" i="5" s="1"/>
  <c r="K24" i="5" s="1"/>
  <c r="J24" i="10"/>
  <c r="G10" i="9" s="1"/>
  <c r="J22" i="5" s="1"/>
  <c r="K22" i="5" s="1"/>
  <c r="H72" i="11"/>
  <c r="H67" i="11"/>
  <c r="H66" i="11"/>
  <c r="H65" i="11"/>
  <c r="F72" i="11"/>
  <c r="F67" i="11"/>
  <c r="F65" i="11"/>
  <c r="F66" i="11"/>
  <c r="D72" i="11"/>
  <c r="D67" i="11"/>
  <c r="D66" i="11"/>
  <c r="D65" i="11"/>
  <c r="J69" i="11"/>
  <c r="E40" i="5" l="1"/>
  <c r="J40" i="5"/>
  <c r="B11" i="5"/>
  <c r="B10" i="5"/>
  <c r="E56" i="5"/>
  <c r="E39" i="5"/>
  <c r="B8" i="5"/>
  <c r="L69" i="11"/>
  <c r="E197" i="10" s="1"/>
  <c r="F197" i="10" s="1"/>
  <c r="F201" i="10" s="1"/>
  <c r="E43" i="9" s="1"/>
  <c r="J199" i="10"/>
  <c r="J198" i="10"/>
  <c r="J197" i="10"/>
  <c r="H197" i="10"/>
  <c r="J186" i="10"/>
  <c r="J187" i="10"/>
  <c r="J185" i="10"/>
  <c r="H185" i="10"/>
  <c r="J141" i="10"/>
  <c r="G31" i="9" s="1"/>
  <c r="E59" i="10"/>
  <c r="K59" i="10" s="1"/>
  <c r="J63" i="10"/>
  <c r="J62" i="10"/>
  <c r="J61" i="10"/>
  <c r="J60" i="10"/>
  <c r="H60" i="10"/>
  <c r="J59" i="10"/>
  <c r="H59" i="10"/>
  <c r="J58" i="10"/>
  <c r="H58" i="10"/>
  <c r="J189" i="10" l="1"/>
  <c r="G41" i="9" s="1"/>
  <c r="J54" i="5" s="1"/>
  <c r="K54" i="5" s="1"/>
  <c r="F56" i="5"/>
  <c r="G56" i="5" s="1"/>
  <c r="F185" i="10"/>
  <c r="F189" i="10" s="1"/>
  <c r="K185" i="10"/>
  <c r="K40" i="5"/>
  <c r="I40" i="5"/>
  <c r="J201" i="10"/>
  <c r="G43" i="9" s="1"/>
  <c r="J56" i="5" s="1"/>
  <c r="K56" i="5" s="1"/>
  <c r="K197" i="10"/>
  <c r="L197" i="10"/>
  <c r="J65" i="10"/>
  <c r="G18" i="9" s="1"/>
  <c r="J31" i="5" s="1"/>
  <c r="K31" i="5" s="1"/>
  <c r="F59" i="10"/>
  <c r="L59" i="10" s="1"/>
  <c r="K58" i="5" l="1"/>
  <c r="E41" i="9"/>
  <c r="L185" i="10"/>
  <c r="F54" i="5" l="1"/>
  <c r="G54" i="5" s="1"/>
  <c r="K12" i="5"/>
  <c r="L16" i="11" l="1"/>
  <c r="G198" i="10" s="1"/>
  <c r="J63" i="11"/>
  <c r="L63" i="11" s="1"/>
  <c r="H101" i="10"/>
  <c r="H100" i="10"/>
  <c r="J104" i="10"/>
  <c r="J103" i="10"/>
  <c r="J102" i="10"/>
  <c r="J101" i="10"/>
  <c r="K198" i="10" l="1"/>
  <c r="H198" i="10"/>
  <c r="J100" i="10"/>
  <c r="J106" i="10" s="1"/>
  <c r="G25" i="9" s="1"/>
  <c r="J39" i="5" s="1"/>
  <c r="K39" i="5" s="1"/>
  <c r="K43" i="5" s="1"/>
  <c r="L198" i="10" l="1"/>
  <c r="J41" i="11" l="1"/>
  <c r="L41" i="11" s="1"/>
  <c r="L6" i="11"/>
  <c r="D148" i="10" l="1"/>
  <c r="D147" i="10"/>
  <c r="E26" i="5"/>
  <c r="J229" i="10"/>
  <c r="H229" i="10"/>
  <c r="J228" i="10"/>
  <c r="J227" i="10"/>
  <c r="L45" i="11"/>
  <c r="E132" i="10" l="1"/>
  <c r="E116" i="10"/>
  <c r="J231" i="10"/>
  <c r="G49" i="9" s="1"/>
  <c r="J63" i="5" s="1"/>
  <c r="E61" i="5"/>
  <c r="D55" i="11"/>
  <c r="L55" i="11" s="1"/>
  <c r="D56" i="11"/>
  <c r="L56" i="11" s="1"/>
  <c r="E206" i="10"/>
  <c r="F206" i="10" s="1"/>
  <c r="L206" i="10" s="1"/>
  <c r="E63" i="5"/>
  <c r="J209" i="10"/>
  <c r="D208" i="10"/>
  <c r="J208" i="10" s="1"/>
  <c r="D207" i="10"/>
  <c r="J207" i="10" s="1"/>
  <c r="H34" i="11"/>
  <c r="F34" i="11"/>
  <c r="D34" i="11"/>
  <c r="L34" i="11" s="1"/>
  <c r="E68" i="10" s="1"/>
  <c r="J70" i="11"/>
  <c r="L70" i="11" s="1"/>
  <c r="K116" i="10" l="1"/>
  <c r="F116" i="10"/>
  <c r="L116" i="10" s="1"/>
  <c r="F68" i="10"/>
  <c r="L68" i="10" s="1"/>
  <c r="K68" i="10"/>
  <c r="K63" i="5"/>
  <c r="J211" i="10"/>
  <c r="G46" i="9" s="1"/>
  <c r="J60" i="5" s="1"/>
  <c r="G26" i="5"/>
  <c r="K26" i="5"/>
  <c r="K28" i="5" s="1"/>
  <c r="K206" i="10"/>
  <c r="D215" i="10" l="1"/>
  <c r="D214" i="10"/>
  <c r="H54" i="10"/>
  <c r="H53" i="10"/>
  <c r="J54" i="10"/>
  <c r="I10" i="3" l="1"/>
  <c r="J10" i="3" s="1"/>
  <c r="L17" i="11"/>
  <c r="L68" i="11"/>
  <c r="E75" i="10" s="1"/>
  <c r="F75" i="10" l="1"/>
  <c r="K75" i="10"/>
  <c r="K8" i="5"/>
  <c r="E78" i="10" l="1"/>
  <c r="L75" i="10"/>
  <c r="L23" i="11"/>
  <c r="F78" i="10" l="1"/>
  <c r="L78" i="10" s="1"/>
  <c r="K78" i="10"/>
  <c r="E30" i="5"/>
  <c r="J50" i="10"/>
  <c r="J51" i="10"/>
  <c r="J52" i="10"/>
  <c r="J53" i="10"/>
  <c r="H50" i="10"/>
  <c r="F51" i="10"/>
  <c r="F52" i="10"/>
  <c r="E50" i="10"/>
  <c r="F50" i="10" s="1"/>
  <c r="L32" i="11"/>
  <c r="K49" i="10" s="1"/>
  <c r="J49" i="10"/>
  <c r="H49" i="10"/>
  <c r="J56" i="10" l="1"/>
  <c r="G17" i="9" s="1"/>
  <c r="J30" i="5" s="1"/>
  <c r="K30" i="5" s="1"/>
  <c r="K33" i="5" s="1"/>
  <c r="K50" i="10"/>
  <c r="L50" i="10"/>
  <c r="F49" i="10"/>
  <c r="E54" i="10" s="1"/>
  <c r="K54" i="10" l="1"/>
  <c r="L49" i="10"/>
  <c r="F54" i="10" l="1"/>
  <c r="L54" i="10" s="1"/>
  <c r="L24" i="11"/>
  <c r="E179" i="10" s="1"/>
  <c r="F179" i="10" l="1"/>
  <c r="L179" i="10" s="1"/>
  <c r="K179" i="10"/>
  <c r="L65" i="11"/>
  <c r="L66" i="11"/>
  <c r="L67" i="11"/>
  <c r="H64" i="11"/>
  <c r="D64" i="11"/>
  <c r="F64" i="11"/>
  <c r="L64" i="11" s="1"/>
  <c r="F62" i="11"/>
  <c r="L57" i="11"/>
  <c r="F51" i="11"/>
  <c r="H51" i="11"/>
  <c r="D51" i="11"/>
  <c r="F47" i="11"/>
  <c r="D47" i="11"/>
  <c r="H47" i="11"/>
  <c r="L47" i="11" s="1"/>
  <c r="H46" i="11"/>
  <c r="F46" i="11"/>
  <c r="D46" i="11"/>
  <c r="H44" i="11"/>
  <c r="F44" i="11"/>
  <c r="H43" i="11"/>
  <c r="F43" i="11"/>
  <c r="D43" i="11"/>
  <c r="J40" i="11"/>
  <c r="D39" i="11"/>
  <c r="H35" i="11"/>
  <c r="F35" i="11"/>
  <c r="D35" i="11"/>
  <c r="L35" i="11" s="1"/>
  <c r="E220" i="10" s="1"/>
  <c r="L30" i="11"/>
  <c r="E163" i="10" s="1"/>
  <c r="F163" i="10" l="1"/>
  <c r="L163" i="10" s="1"/>
  <c r="K163" i="10"/>
  <c r="K220" i="10"/>
  <c r="F220" i="10"/>
  <c r="E147" i="10"/>
  <c r="F147" i="10" s="1"/>
  <c r="L220" i="10" l="1"/>
  <c r="L72" i="11" l="1"/>
  <c r="E58" i="10" s="1"/>
  <c r="L58" i="11"/>
  <c r="L46" i="11"/>
  <c r="D44" i="11"/>
  <c r="E100" i="10" l="1"/>
  <c r="L22" i="11"/>
  <c r="K100" i="10" l="1"/>
  <c r="F100" i="10"/>
  <c r="K58" i="10"/>
  <c r="F58" i="10"/>
  <c r="E60" i="5"/>
  <c r="K60" i="5" s="1"/>
  <c r="L62" i="11"/>
  <c r="E204" i="10" s="1"/>
  <c r="L71" i="11"/>
  <c r="J215" i="10"/>
  <c r="J214" i="10"/>
  <c r="E213" i="10"/>
  <c r="F213" i="10" s="1"/>
  <c r="H216" i="10"/>
  <c r="J216" i="10"/>
  <c r="J213" i="10"/>
  <c r="L43" i="11"/>
  <c r="E205" i="10" s="1"/>
  <c r="L5" i="11"/>
  <c r="G227" i="10" l="1"/>
  <c r="H227" i="10" s="1"/>
  <c r="G221" i="10"/>
  <c r="L100" i="10"/>
  <c r="L58" i="10"/>
  <c r="K205" i="10"/>
  <c r="F205" i="10"/>
  <c r="L205" i="10" s="1"/>
  <c r="F204" i="10"/>
  <c r="L204" i="10" s="1"/>
  <c r="K204" i="10"/>
  <c r="G207" i="10"/>
  <c r="E203" i="10"/>
  <c r="G214" i="10"/>
  <c r="K214" i="10" s="1"/>
  <c r="J218" i="10"/>
  <c r="L213" i="10"/>
  <c r="K213" i="10"/>
  <c r="K227" i="10" l="1"/>
  <c r="K221" i="10"/>
  <c r="H221" i="10"/>
  <c r="L227" i="10"/>
  <c r="K207" i="10"/>
  <c r="H207" i="10"/>
  <c r="K203" i="10"/>
  <c r="F203" i="10"/>
  <c r="G47" i="9"/>
  <c r="J61" i="5" s="1"/>
  <c r="K61" i="5" s="1"/>
  <c r="K65" i="5" s="1"/>
  <c r="H214" i="10"/>
  <c r="L221" i="10" l="1"/>
  <c r="L203" i="10"/>
  <c r="L207" i="10"/>
  <c r="L214" i="10"/>
  <c r="K11" i="5" l="1"/>
  <c r="I13" i="3"/>
  <c r="J13" i="3" s="1"/>
  <c r="L12" i="11"/>
  <c r="G186" i="10" l="1"/>
  <c r="H186" i="10" s="1"/>
  <c r="G192" i="10"/>
  <c r="L10" i="11"/>
  <c r="B7" i="5"/>
  <c r="L25" i="11"/>
  <c r="L29" i="11"/>
  <c r="E162" i="10" s="1"/>
  <c r="I143" i="10"/>
  <c r="J143" i="10" s="1"/>
  <c r="K186" i="10" l="1"/>
  <c r="K192" i="10"/>
  <c r="H192" i="10"/>
  <c r="J145" i="10"/>
  <c r="G32" i="9" s="1"/>
  <c r="G172" i="10"/>
  <c r="K172" i="10" s="1"/>
  <c r="G180" i="10"/>
  <c r="F162" i="10"/>
  <c r="K162" i="10"/>
  <c r="L186" i="10"/>
  <c r="I148" i="10" l="1"/>
  <c r="I164" i="10"/>
  <c r="K164" i="10" s="1"/>
  <c r="L192" i="10"/>
  <c r="H172" i="10"/>
  <c r="L172" i="10" s="1"/>
  <c r="K180" i="10"/>
  <c r="H180" i="10"/>
  <c r="F169" i="10"/>
  <c r="E36" i="9" s="1"/>
  <c r="L162" i="10"/>
  <c r="J148" i="10"/>
  <c r="J147" i="10"/>
  <c r="H147" i="10"/>
  <c r="L51" i="11"/>
  <c r="L15" i="11"/>
  <c r="G121" i="10" s="1"/>
  <c r="L11" i="11"/>
  <c r="L8" i="11"/>
  <c r="L9" i="11"/>
  <c r="G118" i="10" s="1"/>
  <c r="L50" i="11"/>
  <c r="E117" i="10" s="1"/>
  <c r="L53" i="11"/>
  <c r="E115" i="10" s="1"/>
  <c r="L52" i="11"/>
  <c r="E131" i="10" s="1"/>
  <c r="L75" i="11"/>
  <c r="L74" i="11"/>
  <c r="L73" i="11"/>
  <c r="L59" i="11"/>
  <c r="J42" i="11"/>
  <c r="L42" i="11" s="1"/>
  <c r="L27" i="11"/>
  <c r="L13" i="11"/>
  <c r="L14" i="11"/>
  <c r="J164" i="10" l="1"/>
  <c r="E152" i="10"/>
  <c r="E157" i="10"/>
  <c r="G135" i="10"/>
  <c r="K135" i="10" s="1"/>
  <c r="G119" i="10"/>
  <c r="K115" i="10"/>
  <c r="F115" i="10"/>
  <c r="K117" i="10"/>
  <c r="F117" i="10"/>
  <c r="L117" i="10" s="1"/>
  <c r="K121" i="10"/>
  <c r="H121" i="10"/>
  <c r="K118" i="10"/>
  <c r="H118" i="10"/>
  <c r="F48" i="5"/>
  <c r="G48" i="5" s="1"/>
  <c r="H183" i="10"/>
  <c r="F40" i="9" s="1"/>
  <c r="H53" i="5" s="1"/>
  <c r="I53" i="5" s="1"/>
  <c r="L180" i="10"/>
  <c r="E181" i="10"/>
  <c r="L164" i="10"/>
  <c r="I167" i="10"/>
  <c r="G137" i="10"/>
  <c r="H137" i="10" s="1"/>
  <c r="G134" i="10"/>
  <c r="K131" i="10"/>
  <c r="F131" i="10"/>
  <c r="L131" i="10" s="1"/>
  <c r="E133" i="10"/>
  <c r="J150" i="10"/>
  <c r="K147" i="10"/>
  <c r="L147" i="10"/>
  <c r="H135" i="10" l="1"/>
  <c r="L135" i="10" s="1"/>
  <c r="L115" i="10"/>
  <c r="L118" i="10"/>
  <c r="K119" i="10"/>
  <c r="H119" i="10"/>
  <c r="L119" i="10" s="1"/>
  <c r="L121" i="10"/>
  <c r="K157" i="10"/>
  <c r="F157" i="10"/>
  <c r="L157" i="10" s="1"/>
  <c r="K152" i="10"/>
  <c r="F152" i="10"/>
  <c r="L152" i="10" s="1"/>
  <c r="G33" i="9"/>
  <c r="J45" i="5" s="1"/>
  <c r="K45" i="5" s="1"/>
  <c r="J153" i="10"/>
  <c r="J155" i="10" s="1"/>
  <c r="G34" i="9" s="1"/>
  <c r="J46" i="5" s="1"/>
  <c r="K46" i="5" s="1"/>
  <c r="K181" i="10"/>
  <c r="F181" i="10"/>
  <c r="I12" i="3"/>
  <c r="K10" i="5"/>
  <c r="J167" i="10"/>
  <c r="J169" i="10" s="1"/>
  <c r="K137" i="10"/>
  <c r="L137" i="10"/>
  <c r="F132" i="10"/>
  <c r="L132" i="10" s="1"/>
  <c r="K132" i="10"/>
  <c r="F133" i="10"/>
  <c r="L133" i="10" s="1"/>
  <c r="K133" i="10"/>
  <c r="K134" i="10"/>
  <c r="H134" i="10"/>
  <c r="F183" i="10" l="1"/>
  <c r="E40" i="9" s="1"/>
  <c r="H40" i="9" s="1"/>
  <c r="L181" i="10"/>
  <c r="L183" i="10" s="1"/>
  <c r="G36" i="9"/>
  <c r="K6" i="5"/>
  <c r="I8" i="3"/>
  <c r="J8" i="3" s="1"/>
  <c r="L134" i="10"/>
  <c r="F53" i="5" l="1"/>
  <c r="L54" i="11"/>
  <c r="F40" i="5" s="1"/>
  <c r="B9" i="5"/>
  <c r="L40" i="11"/>
  <c r="L44" i="11"/>
  <c r="B5" i="5"/>
  <c r="L4" i="11"/>
  <c r="L39" i="11"/>
  <c r="J16" i="10"/>
  <c r="J38" i="11"/>
  <c r="L38" i="11" s="1"/>
  <c r="E11" i="10" s="1"/>
  <c r="D11" i="10"/>
  <c r="J11" i="10" s="1"/>
  <c r="J37" i="11"/>
  <c r="L37" i="11" s="1"/>
  <c r="J36" i="11"/>
  <c r="L36" i="11" s="1"/>
  <c r="E9" i="10" s="1"/>
  <c r="L7" i="11"/>
  <c r="J10" i="10"/>
  <c r="J12" i="10"/>
  <c r="H10" i="10"/>
  <c r="F12" i="10"/>
  <c r="J9" i="10"/>
  <c r="L3" i="11"/>
  <c r="E18" i="5"/>
  <c r="E17" i="5"/>
  <c r="E16" i="5"/>
  <c r="B2" i="12"/>
  <c r="G70" i="10" l="1"/>
  <c r="G120" i="10"/>
  <c r="G187" i="10"/>
  <c r="G16" i="10"/>
  <c r="K16" i="10" s="1"/>
  <c r="G193" i="10"/>
  <c r="K70" i="10"/>
  <c r="H70" i="10"/>
  <c r="G69" i="10"/>
  <c r="G44" i="10"/>
  <c r="L53" i="5"/>
  <c r="M53" i="5" s="1"/>
  <c r="G53" i="5"/>
  <c r="G76" i="10"/>
  <c r="K76" i="10" s="1"/>
  <c r="G84" i="10"/>
  <c r="G166" i="10"/>
  <c r="G93" i="10"/>
  <c r="G109" i="10"/>
  <c r="G77" i="10"/>
  <c r="K77" i="10" s="1"/>
  <c r="G173" i="10"/>
  <c r="G85" i="10"/>
  <c r="G167" i="10"/>
  <c r="G222" i="10"/>
  <c r="G94" i="10"/>
  <c r="G110" i="10"/>
  <c r="E92" i="10"/>
  <c r="E83" i="10"/>
  <c r="E91" i="10"/>
  <c r="J48" i="5"/>
  <c r="K48" i="5" s="1"/>
  <c r="G45" i="10"/>
  <c r="G33" i="10"/>
  <c r="G39" i="10"/>
  <c r="G27" i="10"/>
  <c r="G21" i="10"/>
  <c r="G26" i="10"/>
  <c r="G32" i="10"/>
  <c r="G38" i="10"/>
  <c r="G20" i="10"/>
  <c r="G199" i="10"/>
  <c r="G62" i="10"/>
  <c r="G103" i="10"/>
  <c r="E60" i="10"/>
  <c r="E101" i="10"/>
  <c r="G61" i="10"/>
  <c r="L40" i="5"/>
  <c r="M40" i="5" s="1"/>
  <c r="G40" i="5"/>
  <c r="G102" i="10"/>
  <c r="G228" i="10"/>
  <c r="G51" i="10"/>
  <c r="K51" i="10" s="1"/>
  <c r="G208" i="10"/>
  <c r="G52" i="10"/>
  <c r="K52" i="10" s="1"/>
  <c r="G215" i="10"/>
  <c r="G136" i="10"/>
  <c r="G5" i="10"/>
  <c r="F9" i="10"/>
  <c r="J14" i="10"/>
  <c r="G6" i="9" s="1"/>
  <c r="J17" i="5" s="1"/>
  <c r="K17" i="5" s="1"/>
  <c r="J18" i="10"/>
  <c r="G7" i="9" s="1"/>
  <c r="J18" i="5" s="1"/>
  <c r="K18" i="5" s="1"/>
  <c r="F16" i="10"/>
  <c r="F18" i="10" s="1"/>
  <c r="E10" i="10"/>
  <c r="F10" i="10" s="1"/>
  <c r="L10" i="10" s="1"/>
  <c r="G12" i="10"/>
  <c r="H12" i="10" s="1"/>
  <c r="L12" i="10" s="1"/>
  <c r="H11" i="10"/>
  <c r="F11" i="10"/>
  <c r="K11" i="10"/>
  <c r="H9" i="10"/>
  <c r="K193" i="10" l="1"/>
  <c r="H193" i="10"/>
  <c r="K120" i="10"/>
  <c r="H120" i="10"/>
  <c r="H76" i="10"/>
  <c r="L76" i="10" s="1"/>
  <c r="H69" i="10"/>
  <c r="L69" i="10" s="1"/>
  <c r="K69" i="10"/>
  <c r="L70" i="10"/>
  <c r="H77" i="10"/>
  <c r="K92" i="10"/>
  <c r="F92" i="10"/>
  <c r="L92" i="10" s="1"/>
  <c r="K173" i="10"/>
  <c r="H173" i="10"/>
  <c r="K110" i="10"/>
  <c r="H110" i="10"/>
  <c r="K109" i="10"/>
  <c r="H109" i="10"/>
  <c r="H222" i="10"/>
  <c r="K222" i="10"/>
  <c r="K93" i="10"/>
  <c r="H93" i="10"/>
  <c r="H166" i="10"/>
  <c r="K166" i="10"/>
  <c r="F91" i="10"/>
  <c r="K91" i="10"/>
  <c r="H167" i="10"/>
  <c r="L167" i="10" s="1"/>
  <c r="K167" i="10"/>
  <c r="H84" i="10"/>
  <c r="K84" i="10"/>
  <c r="K94" i="10"/>
  <c r="H94" i="10"/>
  <c r="K83" i="10"/>
  <c r="F83" i="10"/>
  <c r="K85" i="10"/>
  <c r="H85" i="10"/>
  <c r="K20" i="10"/>
  <c r="H20" i="10"/>
  <c r="K21" i="10"/>
  <c r="H21" i="10"/>
  <c r="K38" i="10"/>
  <c r="H38" i="10"/>
  <c r="K27" i="10"/>
  <c r="H27" i="10"/>
  <c r="H32" i="10"/>
  <c r="K32" i="10"/>
  <c r="K39" i="10"/>
  <c r="H39" i="10"/>
  <c r="K26" i="10"/>
  <c r="H26" i="10"/>
  <c r="K33" i="10"/>
  <c r="H33" i="10"/>
  <c r="K45" i="10"/>
  <c r="H45" i="10"/>
  <c r="L45" i="10" s="1"/>
  <c r="K44" i="10"/>
  <c r="H44" i="10"/>
  <c r="K61" i="10"/>
  <c r="H61" i="10"/>
  <c r="K62" i="10"/>
  <c r="H62" i="10"/>
  <c r="K199" i="10"/>
  <c r="H199" i="10"/>
  <c r="K102" i="10"/>
  <c r="H102" i="10"/>
  <c r="K101" i="10"/>
  <c r="F101" i="10"/>
  <c r="F60" i="10"/>
  <c r="K60" i="10"/>
  <c r="K103" i="10"/>
  <c r="H103" i="10"/>
  <c r="H187" i="10"/>
  <c r="H189" i="10" s="1"/>
  <c r="K187" i="10"/>
  <c r="H51" i="10"/>
  <c r="H228" i="10"/>
  <c r="K228" i="10"/>
  <c r="K208" i="10"/>
  <c r="H208" i="10"/>
  <c r="H211" i="10" s="1"/>
  <c r="H52" i="10"/>
  <c r="H215" i="10"/>
  <c r="E216" i="10" s="1"/>
  <c r="K215" i="10"/>
  <c r="H136" i="10"/>
  <c r="K136" i="10"/>
  <c r="K9" i="10"/>
  <c r="H16" i="10"/>
  <c r="L16" i="10" s="1"/>
  <c r="L18" i="10" s="1"/>
  <c r="F14" i="10"/>
  <c r="K10" i="10"/>
  <c r="K12" i="10"/>
  <c r="H14" i="10"/>
  <c r="F6" i="9" s="1"/>
  <c r="H17" i="5" s="1"/>
  <c r="E7" i="9"/>
  <c r="L11" i="10"/>
  <c r="L9" i="10"/>
  <c r="E122" i="10" l="1"/>
  <c r="L120" i="10"/>
  <c r="E123" i="10"/>
  <c r="H125" i="10"/>
  <c r="L193" i="10"/>
  <c r="L195" i="10" s="1"/>
  <c r="H195" i="10"/>
  <c r="E71" i="10"/>
  <c r="K71" i="10" s="1"/>
  <c r="H73" i="10"/>
  <c r="F21" i="9" s="1"/>
  <c r="L77" i="10"/>
  <c r="E79" i="10"/>
  <c r="K79" i="10" s="1"/>
  <c r="H47" i="10"/>
  <c r="F14" i="9" s="1"/>
  <c r="H14" i="9" s="1"/>
  <c r="H236" i="10"/>
  <c r="F52" i="9" s="1"/>
  <c r="L236" i="10"/>
  <c r="H81" i="10"/>
  <c r="H113" i="10"/>
  <c r="F26" i="9" s="1"/>
  <c r="H41" i="5" s="1"/>
  <c r="I41" i="5" s="1"/>
  <c r="L109" i="10"/>
  <c r="H169" i="10"/>
  <c r="F36" i="9" s="1"/>
  <c r="H36" i="9" s="1"/>
  <c r="L166" i="10"/>
  <c r="L169" i="10" s="1"/>
  <c r="L94" i="10"/>
  <c r="E96" i="10"/>
  <c r="H98" i="10"/>
  <c r="F24" i="9" s="1"/>
  <c r="H38" i="5" s="1"/>
  <c r="I38" i="5" s="1"/>
  <c r="L93" i="10"/>
  <c r="E111" i="10"/>
  <c r="L110" i="10"/>
  <c r="L84" i="10"/>
  <c r="H89" i="10"/>
  <c r="F23" i="9" s="1"/>
  <c r="H37" i="5" s="1"/>
  <c r="I37" i="5" s="1"/>
  <c r="E87" i="10"/>
  <c r="L85" i="10"/>
  <c r="L173" i="10"/>
  <c r="E174" i="10"/>
  <c r="H176" i="10"/>
  <c r="F39" i="9" s="1"/>
  <c r="H52" i="5" s="1"/>
  <c r="I52" i="5" s="1"/>
  <c r="E86" i="10"/>
  <c r="L83" i="10"/>
  <c r="E95" i="10"/>
  <c r="L91" i="10"/>
  <c r="L222" i="10"/>
  <c r="H225" i="10"/>
  <c r="F48" i="9" s="1"/>
  <c r="H62" i="5" s="1"/>
  <c r="I62" i="5" s="1"/>
  <c r="E223" i="10"/>
  <c r="H30" i="10"/>
  <c r="F11" i="9" s="1"/>
  <c r="H23" i="5" s="1"/>
  <c r="I23" i="5" s="1"/>
  <c r="L26" i="10"/>
  <c r="L38" i="10"/>
  <c r="H42" i="10"/>
  <c r="F13" i="9" s="1"/>
  <c r="H25" i="5" s="1"/>
  <c r="I25" i="5" s="1"/>
  <c r="E40" i="10"/>
  <c r="L39" i="10"/>
  <c r="L21" i="10"/>
  <c r="E22" i="10"/>
  <c r="E34" i="10"/>
  <c r="L33" i="10"/>
  <c r="E28" i="10"/>
  <c r="L27" i="10"/>
  <c r="L44" i="10"/>
  <c r="L47" i="10" s="1"/>
  <c r="H24" i="10"/>
  <c r="F10" i="9" s="1"/>
  <c r="H22" i="5" s="1"/>
  <c r="I22" i="5" s="1"/>
  <c r="L20" i="10"/>
  <c r="H36" i="10"/>
  <c r="F12" i="9" s="1"/>
  <c r="H24" i="5" s="1"/>
  <c r="I24" i="5" s="1"/>
  <c r="L32" i="10"/>
  <c r="L199" i="10"/>
  <c r="L201" i="10" s="1"/>
  <c r="H201" i="10"/>
  <c r="F43" i="9" s="1"/>
  <c r="H43" i="9" s="1"/>
  <c r="L60" i="10"/>
  <c r="L61" i="10"/>
  <c r="H65" i="10"/>
  <c r="F18" i="9" s="1"/>
  <c r="H31" i="5" s="1"/>
  <c r="I31" i="5" s="1"/>
  <c r="L101" i="10"/>
  <c r="E63" i="10"/>
  <c r="L62" i="10"/>
  <c r="L103" i="10"/>
  <c r="E104" i="10"/>
  <c r="L102" i="10"/>
  <c r="H106" i="10"/>
  <c r="F25" i="9" s="1"/>
  <c r="H39" i="5" s="1"/>
  <c r="I39" i="5" s="1"/>
  <c r="L187" i="10"/>
  <c r="L189" i="10" s="1"/>
  <c r="F41" i="9"/>
  <c r="H41" i="9" s="1"/>
  <c r="E138" i="10"/>
  <c r="E139" i="10"/>
  <c r="H56" i="10"/>
  <c r="F17" i="9" s="1"/>
  <c r="H30" i="5" s="1"/>
  <c r="I30" i="5" s="1"/>
  <c r="L51" i="10"/>
  <c r="E53" i="10"/>
  <c r="K53" i="10" s="1"/>
  <c r="L228" i="10"/>
  <c r="H231" i="10"/>
  <c r="F49" i="9" s="1"/>
  <c r="H63" i="5" s="1"/>
  <c r="E229" i="10"/>
  <c r="E209" i="10"/>
  <c r="L208" i="10"/>
  <c r="F46" i="9"/>
  <c r="H60" i="5" s="1"/>
  <c r="F216" i="10"/>
  <c r="K216" i="10"/>
  <c r="L52" i="10"/>
  <c r="L215" i="10"/>
  <c r="H218" i="10"/>
  <c r="L136" i="10"/>
  <c r="H141" i="10"/>
  <c r="F31" i="9" s="1"/>
  <c r="H18" i="10"/>
  <c r="F7" i="9" s="1"/>
  <c r="L14" i="10"/>
  <c r="F18" i="5"/>
  <c r="E6" i="9"/>
  <c r="H6" i="9" s="1"/>
  <c r="H55" i="5" l="1"/>
  <c r="F42" i="9"/>
  <c r="H42" i="9" s="1"/>
  <c r="G127" i="10"/>
  <c r="H127" i="10" s="1"/>
  <c r="H129" i="10" s="1"/>
  <c r="F29" i="9"/>
  <c r="K123" i="10"/>
  <c r="F123" i="10"/>
  <c r="L123" i="10" s="1"/>
  <c r="F71" i="10"/>
  <c r="F73" i="10" s="1"/>
  <c r="E21" i="9" s="1"/>
  <c r="K122" i="10"/>
  <c r="F122" i="10"/>
  <c r="I33" i="5"/>
  <c r="H35" i="5"/>
  <c r="I35" i="5" s="1"/>
  <c r="F22" i="9"/>
  <c r="H36" i="5" s="1"/>
  <c r="I36" i="5" s="1"/>
  <c r="F79" i="10"/>
  <c r="L79" i="10" s="1"/>
  <c r="L81" i="10" s="1"/>
  <c r="H67" i="5"/>
  <c r="H52" i="9"/>
  <c r="H18" i="5"/>
  <c r="H7" i="9"/>
  <c r="F95" i="10"/>
  <c r="L95" i="10" s="1"/>
  <c r="K95" i="10"/>
  <c r="F174" i="10"/>
  <c r="K174" i="10"/>
  <c r="F96" i="10"/>
  <c r="K96" i="10"/>
  <c r="K87" i="10"/>
  <c r="F87" i="10"/>
  <c r="L87" i="10" s="1"/>
  <c r="F223" i="10"/>
  <c r="K223" i="10"/>
  <c r="H48" i="5"/>
  <c r="K86" i="10"/>
  <c r="F86" i="10"/>
  <c r="K111" i="10"/>
  <c r="F111" i="10"/>
  <c r="F34" i="10"/>
  <c r="K34" i="10"/>
  <c r="K22" i="10"/>
  <c r="F22" i="10"/>
  <c r="H26" i="5"/>
  <c r="I26" i="5" s="1"/>
  <c r="I28" i="5" s="1"/>
  <c r="K40" i="10"/>
  <c r="F40" i="10"/>
  <c r="F28" i="10"/>
  <c r="K28" i="10"/>
  <c r="K104" i="10"/>
  <c r="F104" i="10"/>
  <c r="H56" i="5"/>
  <c r="F63" i="10"/>
  <c r="K63" i="10"/>
  <c r="H54" i="5"/>
  <c r="K139" i="10"/>
  <c r="F139" i="10"/>
  <c r="L139" i="10" s="1"/>
  <c r="K138" i="10"/>
  <c r="F138" i="10"/>
  <c r="L138" i="10" s="1"/>
  <c r="F53" i="10"/>
  <c r="F56" i="10" s="1"/>
  <c r="F229" i="10"/>
  <c r="K229" i="10"/>
  <c r="F209" i="10"/>
  <c r="F211" i="10" s="1"/>
  <c r="K209" i="10"/>
  <c r="F47" i="9"/>
  <c r="H61" i="5" s="1"/>
  <c r="I61" i="5" s="1"/>
  <c r="F218" i="10"/>
  <c r="E47" i="9" s="1"/>
  <c r="L216" i="10"/>
  <c r="L218" i="10" s="1"/>
  <c r="G143" i="10"/>
  <c r="H143" i="10" s="1"/>
  <c r="F17" i="5"/>
  <c r="L71" i="10" l="1"/>
  <c r="L73" i="10" s="1"/>
  <c r="G153" i="10"/>
  <c r="G158" i="10"/>
  <c r="H158" i="10" s="1"/>
  <c r="H160" i="10" s="1"/>
  <c r="F35" i="9" s="1"/>
  <c r="H47" i="5" s="1"/>
  <c r="I47" i="5" s="1"/>
  <c r="F30" i="9"/>
  <c r="L122" i="10"/>
  <c r="L125" i="10" s="1"/>
  <c r="F125" i="10"/>
  <c r="I55" i="5"/>
  <c r="L55" i="5"/>
  <c r="M55" i="5" s="1"/>
  <c r="H145" i="10"/>
  <c r="F32" i="9" s="1"/>
  <c r="F81" i="10"/>
  <c r="E22" i="9" s="1"/>
  <c r="I43" i="5"/>
  <c r="G10" i="3" s="1"/>
  <c r="H10" i="3" s="1"/>
  <c r="H21" i="9"/>
  <c r="I67" i="5"/>
  <c r="I69" i="5" s="1"/>
  <c r="L67" i="5"/>
  <c r="M67" i="5" s="1"/>
  <c r="M69" i="5" s="1"/>
  <c r="F61" i="5"/>
  <c r="H47" i="9"/>
  <c r="F89" i="10"/>
  <c r="E23" i="9" s="1"/>
  <c r="H23" i="9" s="1"/>
  <c r="L86" i="10"/>
  <c r="L89" i="10" s="1"/>
  <c r="I48" i="5"/>
  <c r="L48" i="5"/>
  <c r="M48" i="5" s="1"/>
  <c r="F98" i="10"/>
  <c r="E24" i="9" s="1"/>
  <c r="H24" i="9" s="1"/>
  <c r="L96" i="10"/>
  <c r="L98" i="10" s="1"/>
  <c r="F113" i="10"/>
  <c r="E26" i="9" s="1"/>
  <c r="H26" i="9" s="1"/>
  <c r="L111" i="10"/>
  <c r="L113" i="10" s="1"/>
  <c r="L174" i="10"/>
  <c r="L176" i="10" s="1"/>
  <c r="F176" i="10"/>
  <c r="E39" i="9" s="1"/>
  <c r="H39" i="9" s="1"/>
  <c r="L223" i="10"/>
  <c r="L225" i="10" s="1"/>
  <c r="F225" i="10"/>
  <c r="E48" i="9" s="1"/>
  <c r="K50" i="5"/>
  <c r="F35" i="5"/>
  <c r="F42" i="10"/>
  <c r="E13" i="9" s="1"/>
  <c r="H13" i="9" s="1"/>
  <c r="L40" i="10"/>
  <c r="L42" i="10" s="1"/>
  <c r="F24" i="10"/>
  <c r="E10" i="9" s="1"/>
  <c r="H10" i="9" s="1"/>
  <c r="L22" i="10"/>
  <c r="L24" i="10" s="1"/>
  <c r="F30" i="10"/>
  <c r="E11" i="9" s="1"/>
  <c r="H11" i="9" s="1"/>
  <c r="L28" i="10"/>
  <c r="L30" i="10" s="1"/>
  <c r="F36" i="10"/>
  <c r="E12" i="9" s="1"/>
  <c r="H12" i="9" s="1"/>
  <c r="L34" i="10"/>
  <c r="L36" i="10" s="1"/>
  <c r="L63" i="10"/>
  <c r="L65" i="10" s="1"/>
  <c r="F65" i="10"/>
  <c r="E18" i="9" s="1"/>
  <c r="F31" i="5" s="1"/>
  <c r="G9" i="3"/>
  <c r="H9" i="3" s="1"/>
  <c r="I54" i="5"/>
  <c r="L54" i="5"/>
  <c r="M54" i="5" s="1"/>
  <c r="L56" i="5"/>
  <c r="M56" i="5" s="1"/>
  <c r="I56" i="5"/>
  <c r="L104" i="10"/>
  <c r="L106" i="10" s="1"/>
  <c r="F106" i="10"/>
  <c r="E25" i="9" s="1"/>
  <c r="H25" i="9" s="1"/>
  <c r="L53" i="10"/>
  <c r="L56" i="10" s="1"/>
  <c r="E17" i="9"/>
  <c r="L26" i="5"/>
  <c r="M26" i="5" s="1"/>
  <c r="L229" i="10"/>
  <c r="L231" i="10" s="1"/>
  <c r="F231" i="10"/>
  <c r="E49" i="9" s="1"/>
  <c r="E46" i="9"/>
  <c r="L209" i="10"/>
  <c r="I60" i="5"/>
  <c r="I63" i="5"/>
  <c r="F141" i="10"/>
  <c r="E31" i="9" s="1"/>
  <c r="L141" i="10"/>
  <c r="G148" i="10"/>
  <c r="H148" i="10" s="1"/>
  <c r="H150" i="10" s="1"/>
  <c r="H153" i="10" s="1"/>
  <c r="H155" i="10" s="1"/>
  <c r="F34" i="9" s="1"/>
  <c r="H46" i="5" s="1"/>
  <c r="I46" i="5" s="1"/>
  <c r="J12" i="3"/>
  <c r="E127" i="10" l="1"/>
  <c r="E29" i="9"/>
  <c r="I58" i="5"/>
  <c r="L31" i="5"/>
  <c r="M31" i="5" s="1"/>
  <c r="G31" i="5"/>
  <c r="I8" i="5"/>
  <c r="H18" i="9"/>
  <c r="F36" i="5"/>
  <c r="H22" i="9"/>
  <c r="M12" i="5"/>
  <c r="F30" i="5"/>
  <c r="L30" i="5" s="1"/>
  <c r="M30" i="5" s="1"/>
  <c r="H17" i="9"/>
  <c r="F62" i="5"/>
  <c r="G62" i="5" s="1"/>
  <c r="H48" i="9"/>
  <c r="I65" i="5"/>
  <c r="F63" i="5"/>
  <c r="L63" i="5" s="1"/>
  <c r="M63" i="5" s="1"/>
  <c r="H49" i="9"/>
  <c r="F60" i="5"/>
  <c r="H46" i="9"/>
  <c r="F52" i="5"/>
  <c r="F41" i="5"/>
  <c r="F38" i="5"/>
  <c r="F37" i="5"/>
  <c r="G35" i="5"/>
  <c r="L35" i="5"/>
  <c r="M35" i="5" s="1"/>
  <c r="F23" i="5"/>
  <c r="F22" i="5"/>
  <c r="F24" i="5"/>
  <c r="F25" i="5"/>
  <c r="F39" i="5"/>
  <c r="L211" i="10"/>
  <c r="I6" i="5"/>
  <c r="G8" i="3"/>
  <c r="H8" i="3" s="1"/>
  <c r="L61" i="5"/>
  <c r="M61" i="5" s="1"/>
  <c r="G61" i="5"/>
  <c r="I7" i="5"/>
  <c r="F33" i="9"/>
  <c r="H29" i="9"/>
  <c r="E143" i="10"/>
  <c r="F127" i="10" l="1"/>
  <c r="K127" i="10"/>
  <c r="M33" i="5"/>
  <c r="G36" i="5"/>
  <c r="L36" i="5"/>
  <c r="M36" i="5" s="1"/>
  <c r="G30" i="5"/>
  <c r="G33" i="5" s="1"/>
  <c r="G14" i="3"/>
  <c r="I12" i="5"/>
  <c r="L62" i="5"/>
  <c r="M62" i="5" s="1"/>
  <c r="L52" i="5"/>
  <c r="M52" i="5" s="1"/>
  <c r="M58" i="5" s="1"/>
  <c r="G52" i="5"/>
  <c r="G58" i="5" s="1"/>
  <c r="L37" i="5"/>
  <c r="M37" i="5" s="1"/>
  <c r="G37" i="5"/>
  <c r="L38" i="5"/>
  <c r="M38" i="5" s="1"/>
  <c r="G38" i="5"/>
  <c r="L41" i="5"/>
  <c r="M41" i="5" s="1"/>
  <c r="G41" i="5"/>
  <c r="G22" i="5"/>
  <c r="L22" i="5"/>
  <c r="M22" i="5" s="1"/>
  <c r="G24" i="5"/>
  <c r="L24" i="5"/>
  <c r="M24" i="5" s="1"/>
  <c r="L25" i="5"/>
  <c r="M25" i="5" s="1"/>
  <c r="G25" i="5"/>
  <c r="L23" i="5"/>
  <c r="M23" i="5" s="1"/>
  <c r="G23" i="5"/>
  <c r="G39" i="5"/>
  <c r="L39" i="5"/>
  <c r="M39" i="5" s="1"/>
  <c r="G12" i="3"/>
  <c r="I10" i="5"/>
  <c r="I11" i="5"/>
  <c r="G13" i="3"/>
  <c r="H13" i="3" s="1"/>
  <c r="G63" i="5"/>
  <c r="G60" i="5"/>
  <c r="L60" i="5"/>
  <c r="M60" i="5" s="1"/>
  <c r="H45" i="5"/>
  <c r="I45" i="5" s="1"/>
  <c r="I50" i="5" s="1"/>
  <c r="K143" i="10"/>
  <c r="F143" i="10"/>
  <c r="H31" i="9" s="1"/>
  <c r="F129" i="10" l="1"/>
  <c r="L127" i="10"/>
  <c r="L129" i="10" s="1"/>
  <c r="M28" i="5"/>
  <c r="M6" i="5" s="1"/>
  <c r="G28" i="5"/>
  <c r="G6" i="5" s="1"/>
  <c r="E9" i="3"/>
  <c r="G65" i="5"/>
  <c r="H14" i="3"/>
  <c r="K14" i="3"/>
  <c r="L14" i="3" s="1"/>
  <c r="M43" i="5"/>
  <c r="M8" i="5" s="1"/>
  <c r="M7" i="5"/>
  <c r="G43" i="5"/>
  <c r="M10" i="5"/>
  <c r="M65" i="5"/>
  <c r="M11" i="5" s="1"/>
  <c r="G10" i="5"/>
  <c r="E12" i="3"/>
  <c r="H12" i="3"/>
  <c r="F145" i="10"/>
  <c r="E32" i="9" s="1"/>
  <c r="H32" i="9" s="1"/>
  <c r="L143" i="10"/>
  <c r="L145" i="10" s="1"/>
  <c r="E153" i="10" l="1"/>
  <c r="E30" i="9"/>
  <c r="H30" i="9" s="1"/>
  <c r="E158" i="10"/>
  <c r="E8" i="3"/>
  <c r="F8" i="3" s="1"/>
  <c r="G8" i="5"/>
  <c r="E10" i="3"/>
  <c r="G11" i="5"/>
  <c r="E13" i="3"/>
  <c r="F12" i="3"/>
  <c r="E148" i="10"/>
  <c r="I9" i="3"/>
  <c r="J9" i="3" s="1"/>
  <c r="K7" i="5"/>
  <c r="F9" i="3"/>
  <c r="G7" i="5"/>
  <c r="A3" i="7"/>
  <c r="J5" i="10"/>
  <c r="K5" i="10"/>
  <c r="F5" i="10"/>
  <c r="A1" i="10"/>
  <c r="F158" i="10" l="1"/>
  <c r="K158" i="10"/>
  <c r="K8" i="3"/>
  <c r="L8" i="3" s="1"/>
  <c r="K13" i="3"/>
  <c r="L13" i="3" s="1"/>
  <c r="F13" i="3"/>
  <c r="F10" i="3"/>
  <c r="K10" i="3"/>
  <c r="L10" i="3" s="1"/>
  <c r="K12" i="3"/>
  <c r="L12" i="3" s="1"/>
  <c r="K148" i="10"/>
  <c r="F148" i="10"/>
  <c r="K9" i="3"/>
  <c r="L9" i="3" s="1"/>
  <c r="J7" i="10"/>
  <c r="G5" i="9" s="1"/>
  <c r="J16" i="5" s="1"/>
  <c r="K16" i="5" s="1"/>
  <c r="K20" i="5" s="1"/>
  <c r="F7" i="10"/>
  <c r="E5" i="9" s="1"/>
  <c r="F16" i="5" s="1"/>
  <c r="G16" i="5" s="1"/>
  <c r="H5" i="10"/>
  <c r="H7" i="10" s="1"/>
  <c r="F160" i="10" l="1"/>
  <c r="E35" i="9" s="1"/>
  <c r="F47" i="5" s="1"/>
  <c r="L158" i="10"/>
  <c r="L160" i="10" s="1"/>
  <c r="H35" i="9" s="1"/>
  <c r="F150" i="10"/>
  <c r="L148" i="10"/>
  <c r="L150" i="10" s="1"/>
  <c r="L5" i="10"/>
  <c r="L7" i="10" s="1"/>
  <c r="F5" i="9"/>
  <c r="G47" i="5" l="1"/>
  <c r="L47" i="5"/>
  <c r="M47" i="5" s="1"/>
  <c r="F153" i="10"/>
  <c r="K153" i="10"/>
  <c r="E33" i="9"/>
  <c r="H33" i="9" s="1"/>
  <c r="H16" i="5"/>
  <c r="H5" i="9"/>
  <c r="L17" i="5"/>
  <c r="M17" i="5" s="1"/>
  <c r="I17" i="5"/>
  <c r="G17" i="5"/>
  <c r="I18" i="5"/>
  <c r="G18" i="5"/>
  <c r="L153" i="10" l="1"/>
  <c r="L155" i="10" s="1"/>
  <c r="F155" i="10"/>
  <c r="E34" i="9" s="1"/>
  <c r="G20" i="5"/>
  <c r="G5" i="5" s="1"/>
  <c r="F45" i="5"/>
  <c r="G45" i="5" s="1"/>
  <c r="I9" i="5"/>
  <c r="L16" i="5"/>
  <c r="M16" i="5" s="1"/>
  <c r="I16" i="5"/>
  <c r="I20" i="5" s="1"/>
  <c r="L18" i="5"/>
  <c r="M18" i="5" s="1"/>
  <c r="H34" i="9" l="1"/>
  <c r="F46" i="5"/>
  <c r="M20" i="5"/>
  <c r="M5" i="5" s="1"/>
  <c r="L45" i="5"/>
  <c r="M45" i="5" s="1"/>
  <c r="E7" i="3"/>
  <c r="F7" i="3" s="1"/>
  <c r="G7" i="3"/>
  <c r="H7" i="3" s="1"/>
  <c r="G11" i="3"/>
  <c r="H11" i="3" s="1"/>
  <c r="K5" i="5"/>
  <c r="I7" i="3"/>
  <c r="J7" i="3" s="1"/>
  <c r="L46" i="5" l="1"/>
  <c r="M46" i="5" s="1"/>
  <c r="M50" i="5" s="1"/>
  <c r="G46" i="5"/>
  <c r="G50" i="5" s="1"/>
  <c r="H23" i="3"/>
  <c r="G6" i="3"/>
  <c r="G5" i="3" s="1"/>
  <c r="I5" i="5"/>
  <c r="I14" i="5" s="1"/>
  <c r="K7" i="3"/>
  <c r="L7" i="3" s="1"/>
  <c r="M9" i="5" l="1"/>
  <c r="M14" i="5" s="1"/>
  <c r="E11" i="3"/>
  <c r="F11" i="3" s="1"/>
  <c r="F23" i="3" s="1"/>
  <c r="K9" i="5"/>
  <c r="K14" i="5" s="1"/>
  <c r="H6" i="3"/>
  <c r="H5" i="3"/>
  <c r="D9" i="7" s="1"/>
  <c r="E6" i="3" l="1"/>
  <c r="E5" i="3" s="1"/>
  <c r="F5" i="3" s="1"/>
  <c r="D5" i="7" s="1"/>
  <c r="D20" i="7" s="1"/>
  <c r="I11" i="3"/>
  <c r="J11" i="3" s="1"/>
  <c r="G9" i="5"/>
  <c r="G14" i="5" s="1"/>
  <c r="J23" i="3" l="1"/>
  <c r="D13" i="7" s="1"/>
  <c r="I6" i="3"/>
  <c r="K6" i="3" s="1"/>
  <c r="L6" i="3" s="1"/>
  <c r="F6" i="3"/>
  <c r="K11" i="3"/>
  <c r="L11" i="3" s="1"/>
  <c r="L23" i="3" s="1"/>
  <c r="D10" i="7"/>
  <c r="D11" i="7" s="1"/>
  <c r="D14" i="7" l="1"/>
  <c r="D15" i="7"/>
  <c r="I5" i="3"/>
  <c r="K5" i="3" s="1"/>
  <c r="L5" i="3" s="1"/>
  <c r="J6" i="3"/>
  <c r="D8" i="7" l="1"/>
  <c r="J5" i="3"/>
  <c r="D22" i="7" l="1"/>
  <c r="D24" i="7"/>
  <c r="D26" i="7" l="1"/>
  <c r="D27" i="7" s="1"/>
  <c r="D28" i="7" s="1"/>
  <c r="D29" i="7" s="1"/>
  <c r="D30" i="7" s="1"/>
  <c r="D32" i="7" s="1"/>
  <c r="D33" i="7" l="1"/>
  <c r="D34" i="7" s="1"/>
  <c r="D36" i="7" s="1"/>
  <c r="G3" i="7" s="1"/>
  <c r="L7" i="6" l="1"/>
  <c r="F7" i="6" s="1"/>
  <c r="F9" i="6" l="1"/>
  <c r="F10" i="6" l="1"/>
</calcChain>
</file>

<file path=xl/sharedStrings.xml><?xml version="1.0" encoding="utf-8"?>
<sst xmlns="http://schemas.openxmlformats.org/spreadsheetml/2006/main" count="1490" uniqueCount="759">
  <si>
    <t>번호</t>
    <phoneticPr fontId="2" type="noConversion"/>
  </si>
  <si>
    <t>규   격</t>
    <phoneticPr fontId="2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</si>
  <si>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</si>
  <si>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</si>
  <si>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</si>
  <si>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</si>
  <si>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</si>
  <si>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비고</t>
    <phoneticPr fontId="2" type="noConversion"/>
  </si>
  <si>
    <t>재  료  비</t>
    <phoneticPr fontId="2" type="noConversion"/>
  </si>
  <si>
    <t>노  무  비</t>
    <phoneticPr fontId="2" type="noConversion"/>
  </si>
  <si>
    <t>합    계</t>
    <phoneticPr fontId="2" type="noConversion"/>
  </si>
  <si>
    <t>명     칭</t>
    <phoneticPr fontId="2" type="noConversion"/>
  </si>
  <si>
    <t>*</t>
    <phoneticPr fontId="2" type="noConversion"/>
  </si>
  <si>
    <t>식</t>
    <phoneticPr fontId="2" type="noConversion"/>
  </si>
  <si>
    <t>1</t>
    <phoneticPr fontId="2" type="noConversion"/>
  </si>
  <si>
    <t>1-1</t>
    <phoneticPr fontId="2" type="noConversion"/>
  </si>
  <si>
    <t>가설공사</t>
    <phoneticPr fontId="2" type="noConversion"/>
  </si>
  <si>
    <t>1-2</t>
  </si>
  <si>
    <t>1-3</t>
  </si>
  <si>
    <t>1-4</t>
  </si>
  <si>
    <t>현장보양</t>
    <phoneticPr fontId="2" type="noConversion"/>
  </si>
  <si>
    <t>현장정리및청소</t>
    <phoneticPr fontId="2" type="noConversion"/>
  </si>
  <si>
    <t>M2</t>
    <phoneticPr fontId="2" type="noConversion"/>
  </si>
  <si>
    <t>1-6</t>
  </si>
  <si>
    <t>합  계   -  1</t>
    <phoneticPr fontId="2" type="noConversion"/>
  </si>
  <si>
    <t>소  계  1 - 1</t>
    <phoneticPr fontId="2" type="noConversion"/>
  </si>
  <si>
    <t>먹메김</t>
    <phoneticPr fontId="2" type="noConversion"/>
  </si>
  <si>
    <t>내장공사</t>
    <phoneticPr fontId="2" type="noConversion"/>
  </si>
  <si>
    <t xml:space="preserve">         구              분</t>
  </si>
  <si>
    <t>금</t>
    <phoneticPr fontId="10" type="noConversion"/>
  </si>
  <si>
    <t>액</t>
    <phoneticPr fontId="12" type="noConversion"/>
  </si>
  <si>
    <t>비   고</t>
  </si>
  <si>
    <t xml:space="preserve">      총     공     사     비</t>
  </si>
  <si>
    <t>(</t>
  </si>
  <si>
    <t>)</t>
  </si>
  <si>
    <t>도</t>
  </si>
  <si>
    <t>공  급  가  액</t>
    <phoneticPr fontId="10" type="noConversion"/>
  </si>
  <si>
    <t>급</t>
  </si>
  <si>
    <t>부 가 가 치 세</t>
    <phoneticPr fontId="10" type="noConversion"/>
  </si>
  <si>
    <t>비</t>
  </si>
  <si>
    <t xml:space="preserve">             계</t>
  </si>
  <si>
    <t>감독공무원 경유</t>
    <phoneticPr fontId="12" type="noConversion"/>
  </si>
  <si>
    <t>※ 계 약 자</t>
    <phoneticPr fontId="12" type="noConversion"/>
  </si>
  <si>
    <t>소 속</t>
    <phoneticPr fontId="12" type="noConversion"/>
  </si>
  <si>
    <t>직 급</t>
    <phoneticPr fontId="12" type="noConversion"/>
  </si>
  <si>
    <t>성 명</t>
    <phoneticPr fontId="12" type="noConversion"/>
  </si>
  <si>
    <t xml:space="preserve">               (인)</t>
    <phoneticPr fontId="12" type="noConversion"/>
  </si>
  <si>
    <t xml:space="preserve">금액:  </t>
    <phoneticPr fontId="12" type="noConversion"/>
  </si>
  <si>
    <t>비     목     및     내     용</t>
  </si>
  <si>
    <t>금         액</t>
  </si>
  <si>
    <t>구  성  비 (%)</t>
    <phoneticPr fontId="12" type="noConversion"/>
  </si>
  <si>
    <t>비            고</t>
  </si>
  <si>
    <t>재</t>
  </si>
  <si>
    <t>직접재료비</t>
  </si>
  <si>
    <t>순</t>
  </si>
  <si>
    <t>료</t>
  </si>
  <si>
    <t>간접재료비</t>
  </si>
  <si>
    <t>작  업  설,부산물(△)</t>
    <phoneticPr fontId="12" type="noConversion"/>
  </si>
  <si>
    <t>소               계</t>
  </si>
  <si>
    <t>공</t>
  </si>
  <si>
    <t>노</t>
  </si>
  <si>
    <t>직접노무비</t>
  </si>
  <si>
    <t>무</t>
  </si>
  <si>
    <t>간접노무비</t>
  </si>
  <si>
    <t>직접노무비 *</t>
    <phoneticPr fontId="12" type="noConversion"/>
  </si>
  <si>
    <t>6개월 이하 50억 미만</t>
    <phoneticPr fontId="2" type="noConversion"/>
  </si>
  <si>
    <t>사</t>
  </si>
  <si>
    <t>운반비</t>
    <phoneticPr fontId="12" type="noConversion"/>
  </si>
  <si>
    <t>기계경비</t>
    <phoneticPr fontId="2" type="noConversion"/>
  </si>
  <si>
    <t>원</t>
  </si>
  <si>
    <t>산재보험료</t>
  </si>
  <si>
    <t>노무비*</t>
    <phoneticPr fontId="12" type="noConversion"/>
  </si>
  <si>
    <t>경</t>
  </si>
  <si>
    <t>고용보험료</t>
  </si>
  <si>
    <t>노무비*</t>
    <phoneticPr fontId="12" type="noConversion"/>
  </si>
  <si>
    <t>건강보험료</t>
    <phoneticPr fontId="12" type="noConversion"/>
  </si>
  <si>
    <t>직접노무비*</t>
    <phoneticPr fontId="12" type="noConversion"/>
  </si>
  <si>
    <t>노인장기요양보험료</t>
    <phoneticPr fontId="12" type="noConversion"/>
  </si>
  <si>
    <t>연금보험료</t>
    <phoneticPr fontId="12" type="noConversion"/>
  </si>
  <si>
    <t>4.5%</t>
    <phoneticPr fontId="12" type="noConversion"/>
  </si>
  <si>
    <t>가</t>
  </si>
  <si>
    <t>퇴직공제부금비</t>
  </si>
  <si>
    <t>안전관리비</t>
    <phoneticPr fontId="12" type="noConversion"/>
  </si>
  <si>
    <t>A)(재료비+직노+관급/1.1)*</t>
    <phoneticPr fontId="12" type="noConversion"/>
  </si>
  <si>
    <t>적용</t>
    <phoneticPr fontId="2" type="noConversion"/>
  </si>
  <si>
    <t>B)((재료비+직접노무비)*</t>
    <phoneticPr fontId="12" type="noConversion"/>
  </si>
  <si>
    <t>(2.48%)*1.2</t>
    <phoneticPr fontId="12" type="noConversion"/>
  </si>
  <si>
    <t>기타경비</t>
    <phoneticPr fontId="12" type="noConversion"/>
  </si>
  <si>
    <t>(재료비+노무비)</t>
    <phoneticPr fontId="12" type="noConversion"/>
  </si>
  <si>
    <t>환경보전비</t>
    <phoneticPr fontId="12" type="noConversion"/>
  </si>
  <si>
    <t>(재료비+직노+산출경비)*</t>
    <phoneticPr fontId="12" type="noConversion"/>
  </si>
  <si>
    <t>전문.개보수공사 대상</t>
    <phoneticPr fontId="2" type="noConversion"/>
  </si>
  <si>
    <t>건설하도급대금지급보증서발급수수료</t>
    <phoneticPr fontId="12" type="noConversion"/>
  </si>
  <si>
    <t>건설기계대여대금지급보증서발급수수료</t>
    <phoneticPr fontId="12" type="noConversion"/>
  </si>
  <si>
    <t>(재료비+직노+경비)*</t>
    <phoneticPr fontId="12" type="noConversion"/>
  </si>
  <si>
    <t>소                계</t>
  </si>
  <si>
    <t>계</t>
  </si>
  <si>
    <t>일    반    관    리    비</t>
    <phoneticPr fontId="12" type="noConversion"/>
  </si>
  <si>
    <t>계의*</t>
    <phoneticPr fontId="12" type="noConversion"/>
  </si>
  <si>
    <t>50억 추정가격미만</t>
    <phoneticPr fontId="2" type="noConversion"/>
  </si>
  <si>
    <t>이                      윤</t>
    <phoneticPr fontId="12" type="noConversion"/>
  </si>
  <si>
    <t>(노무비+경비+일반관리비)*</t>
    <phoneticPr fontId="12" type="noConversion"/>
  </si>
  <si>
    <t>소                      계</t>
    <phoneticPr fontId="12" type="noConversion"/>
  </si>
  <si>
    <t xml:space="preserve"> 건 설    폐 기 물 처 리 비 </t>
    <phoneticPr fontId="12" type="noConversion"/>
  </si>
  <si>
    <t>공      급      가      액</t>
    <phoneticPr fontId="12" type="noConversion"/>
  </si>
  <si>
    <t>부    가    가    치    세</t>
    <phoneticPr fontId="12" type="noConversion"/>
  </si>
  <si>
    <t>총원가의 *</t>
    <phoneticPr fontId="12" type="noConversion"/>
  </si>
  <si>
    <t>도          급          액</t>
    <phoneticPr fontId="12" type="noConversion"/>
  </si>
  <si>
    <t>총      공      사      비</t>
  </si>
  <si>
    <t>품명</t>
    <phoneticPr fontId="2" type="noConversion"/>
  </si>
  <si>
    <t>규격</t>
  </si>
  <si>
    <t>규격</t>
    <phoneticPr fontId="2" type="noConversion"/>
  </si>
  <si>
    <t>단위</t>
  </si>
  <si>
    <t>단위</t>
    <phoneticPr fontId="2" type="noConversion"/>
  </si>
  <si>
    <t>수량</t>
  </si>
  <si>
    <t>수량</t>
    <phoneticPr fontId="2" type="noConversion"/>
  </si>
  <si>
    <t>재료비</t>
    <phoneticPr fontId="2" type="noConversion"/>
  </si>
  <si>
    <t>단가</t>
    <phoneticPr fontId="2" type="noConversion"/>
  </si>
  <si>
    <t>금액</t>
    <phoneticPr fontId="2" type="noConversion"/>
  </si>
  <si>
    <t>노무비</t>
  </si>
  <si>
    <t>노무비</t>
    <phoneticPr fontId="2" type="noConversion"/>
  </si>
  <si>
    <t>단가</t>
    <phoneticPr fontId="2" type="noConversion"/>
  </si>
  <si>
    <t>금액</t>
    <phoneticPr fontId="2" type="noConversion"/>
  </si>
  <si>
    <t>경비</t>
    <phoneticPr fontId="2" type="noConversion"/>
  </si>
  <si>
    <t>단가</t>
    <phoneticPr fontId="2" type="noConversion"/>
  </si>
  <si>
    <t>합계</t>
    <phoneticPr fontId="2" type="noConversion"/>
  </si>
  <si>
    <t>1.  내장공사</t>
    <phoneticPr fontId="2" type="noConversion"/>
  </si>
  <si>
    <t>비고</t>
    <phoneticPr fontId="2" type="noConversion"/>
  </si>
  <si>
    <t>공 종 별 집 계 표</t>
    <phoneticPr fontId="2" type="noConversion"/>
  </si>
  <si>
    <t>단위</t>
    <phoneticPr fontId="2" type="noConversion"/>
  </si>
  <si>
    <t>수량</t>
    <phoneticPr fontId="2" type="noConversion"/>
  </si>
  <si>
    <t>비고</t>
    <phoneticPr fontId="2" type="noConversion"/>
  </si>
  <si>
    <t>단위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</si>
  <si>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</si>
  <si>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</si>
  <si>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</si>
  <si>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합계</t>
    <phoneticPr fontId="2" type="noConversion"/>
  </si>
  <si>
    <t>품      명</t>
  </si>
  <si>
    <t>규      격</t>
  </si>
  <si>
    <t>재  료  비</t>
  </si>
  <si>
    <t>노  무  비</t>
  </si>
  <si>
    <t>경      비</t>
  </si>
  <si>
    <t>합      계</t>
  </si>
  <si>
    <t>비  고</t>
  </si>
  <si>
    <t>단  가</t>
  </si>
  <si>
    <t>금  액</t>
  </si>
  <si>
    <t>먹매김       건축 4-1-1  ( 호표 1 )</t>
    <phoneticPr fontId="12" type="noConversion"/>
  </si>
  <si>
    <t>M2</t>
    <phoneticPr fontId="12" type="noConversion"/>
  </si>
  <si>
    <t>인</t>
  </si>
  <si>
    <t/>
  </si>
  <si>
    <t xml:space="preserve"> [ 합          계 ]</t>
  </si>
  <si>
    <t>노 무 비</t>
  </si>
  <si>
    <t>경    비</t>
  </si>
  <si>
    <t>번  호</t>
  </si>
  <si>
    <t>물가자료</t>
    <phoneticPr fontId="12" type="noConversion"/>
  </si>
  <si>
    <t>PAGE</t>
  </si>
  <si>
    <t>물가정보</t>
    <phoneticPr fontId="12" type="noConversion"/>
  </si>
  <si>
    <t>유통물가</t>
    <phoneticPr fontId="12" type="noConversion"/>
  </si>
  <si>
    <t>조사가격-1</t>
    <phoneticPr fontId="12" type="noConversion"/>
  </si>
  <si>
    <t>업체명</t>
    <phoneticPr fontId="12" type="noConversion"/>
  </si>
  <si>
    <t>적용단가</t>
  </si>
  <si>
    <t>가격정보</t>
  </si>
  <si>
    <t>물가자료</t>
  </si>
  <si>
    <t>유통물가</t>
  </si>
  <si>
    <t>거래가격</t>
  </si>
  <si>
    <t>조사가격</t>
  </si>
  <si>
    <t>조사가격-2</t>
    <phoneticPr fontId="12" type="noConversion"/>
  </si>
  <si>
    <t>번호</t>
    <phoneticPr fontId="2" type="noConversion"/>
  </si>
  <si>
    <t>명칭</t>
    <phoneticPr fontId="2" type="noConversion"/>
  </si>
  <si>
    <t>규격</t>
    <phoneticPr fontId="2" type="noConversion"/>
  </si>
  <si>
    <t>산출근거</t>
    <phoneticPr fontId="2" type="noConversion"/>
  </si>
  <si>
    <t>1-1 가설공사</t>
    <phoneticPr fontId="2" type="noConversion"/>
  </si>
  <si>
    <t>가설공사</t>
  </si>
  <si>
    <t>먹메김</t>
  </si>
  <si>
    <t>현장보양</t>
  </si>
  <si>
    <t>현장정리및청소</t>
  </si>
  <si>
    <t>M2</t>
  </si>
  <si>
    <t>M2</t>
    <phoneticPr fontId="2" type="noConversion"/>
  </si>
  <si>
    <t>M2</t>
    <phoneticPr fontId="2" type="noConversion"/>
  </si>
  <si>
    <t>건축목공</t>
    <phoneticPr fontId="2" type="noConversion"/>
  </si>
  <si>
    <t>인</t>
    <phoneticPr fontId="2" type="noConversion"/>
  </si>
  <si>
    <t>하299</t>
    <phoneticPr fontId="2" type="noConversion"/>
  </si>
  <si>
    <t>노무비</t>
    <phoneticPr fontId="2" type="noConversion"/>
  </si>
  <si>
    <t>텐텐지</t>
    <phoneticPr fontId="2" type="noConversion"/>
  </si>
  <si>
    <t>M2</t>
    <phoneticPr fontId="2" type="noConversion"/>
  </si>
  <si>
    <t>M2</t>
    <phoneticPr fontId="2" type="noConversion"/>
  </si>
  <si>
    <t>KG</t>
  </si>
  <si>
    <t>인</t>
    <phoneticPr fontId="2" type="noConversion"/>
  </si>
  <si>
    <t>보통인부</t>
    <phoneticPr fontId="2" type="noConversion"/>
  </si>
  <si>
    <t>보통인부</t>
    <phoneticPr fontId="2" type="noConversion"/>
  </si>
  <si>
    <t>3T</t>
    <phoneticPr fontId="2" type="noConversion"/>
  </si>
  <si>
    <t>M2</t>
    <phoneticPr fontId="2" type="noConversion"/>
  </si>
  <si>
    <t>플라베니아</t>
    <phoneticPr fontId="2" type="noConversion"/>
  </si>
  <si>
    <t>0.2T</t>
    <phoneticPr fontId="2" type="noConversion"/>
  </si>
  <si>
    <t>보양테이프</t>
    <phoneticPr fontId="2" type="noConversion"/>
  </si>
  <si>
    <t>M</t>
    <phoneticPr fontId="2" type="noConversion"/>
  </si>
  <si>
    <t>건축물보양       건축 2-9-1  ( 호표 2 )</t>
    <phoneticPr fontId="12" type="noConversion"/>
  </si>
  <si>
    <t>1-1</t>
    <phoneticPr fontId="2" type="noConversion"/>
  </si>
  <si>
    <t>1-2</t>
    <phoneticPr fontId="2" type="noConversion"/>
  </si>
  <si>
    <t>호표1</t>
    <phoneticPr fontId="2" type="noConversion"/>
  </si>
  <si>
    <t>호표2</t>
  </si>
  <si>
    <t>호표3</t>
  </si>
  <si>
    <t>조립식틀비계</t>
    <phoneticPr fontId="2" type="noConversion"/>
  </si>
  <si>
    <t>대</t>
    <phoneticPr fontId="2" type="noConversion"/>
  </si>
  <si>
    <t>1개월 임대</t>
    <phoneticPr fontId="2" type="noConversion"/>
  </si>
  <si>
    <t>접착제</t>
    <phoneticPr fontId="2" type="noConversion"/>
  </si>
  <si>
    <t>내장공</t>
    <phoneticPr fontId="2" type="noConversion"/>
  </si>
  <si>
    <t>인터넷</t>
    <phoneticPr fontId="2" type="noConversion"/>
  </si>
  <si>
    <t>KG</t>
    <phoneticPr fontId="2" type="noConversion"/>
  </si>
  <si>
    <t>접착제</t>
    <phoneticPr fontId="2" type="noConversion"/>
  </si>
  <si>
    <t>수장공사</t>
    <phoneticPr fontId="2" type="noConversion"/>
  </si>
  <si>
    <t>석고보드</t>
  </si>
  <si>
    <t>9.5*900*1800</t>
  </si>
  <si>
    <t>노무비의 2%</t>
    <phoneticPr fontId="2" type="noConversion"/>
  </si>
  <si>
    <t>목공접착제</t>
    <phoneticPr fontId="2" type="noConversion"/>
  </si>
  <si>
    <t>금속공사</t>
    <phoneticPr fontId="2" type="noConversion"/>
  </si>
  <si>
    <t>금속공사</t>
    <phoneticPr fontId="2" type="noConversion"/>
  </si>
  <si>
    <t>인테리어필름</t>
  </si>
  <si>
    <t>보통인부</t>
  </si>
  <si>
    <t>공구손료</t>
  </si>
  <si>
    <t>식</t>
  </si>
  <si>
    <t>타일공</t>
    <phoneticPr fontId="2" type="noConversion"/>
  </si>
  <si>
    <t>목공사</t>
    <phoneticPr fontId="2" type="noConversion"/>
  </si>
  <si>
    <t>줄눈공</t>
    <phoneticPr fontId="2" type="noConversion"/>
  </si>
  <si>
    <t>목공사</t>
    <phoneticPr fontId="2" type="noConversion"/>
  </si>
  <si>
    <t>MDF (중밀도섬유판)</t>
    <phoneticPr fontId="2" type="noConversion"/>
  </si>
  <si>
    <t>목공본드</t>
    <phoneticPr fontId="2" type="noConversion"/>
  </si>
  <si>
    <t>EA</t>
  </si>
  <si>
    <t>달대볼트</t>
  </si>
  <si>
    <t>캐링채널</t>
  </si>
  <si>
    <t>M</t>
  </si>
  <si>
    <t>상86</t>
  </si>
  <si>
    <t>상543</t>
  </si>
  <si>
    <t>행거</t>
    <phoneticPr fontId="2" type="noConversion"/>
  </si>
  <si>
    <t>50mm</t>
    <phoneticPr fontId="2" type="noConversion"/>
  </si>
  <si>
    <t>개</t>
    <phoneticPr fontId="2" type="noConversion"/>
  </si>
  <si>
    <t>채널클립</t>
    <phoneticPr fontId="2" type="noConversion"/>
  </si>
  <si>
    <t>개</t>
    <phoneticPr fontId="2" type="noConversion"/>
  </si>
  <si>
    <t>인터넷</t>
    <phoneticPr fontId="2" type="noConversion"/>
  </si>
  <si>
    <t>캐링조인트</t>
    <phoneticPr fontId="2" type="noConversion"/>
  </si>
  <si>
    <t>개</t>
    <phoneticPr fontId="2" type="noConversion"/>
  </si>
  <si>
    <t>M-BAR</t>
  </si>
  <si>
    <t>상542</t>
  </si>
  <si>
    <t>BAR 클립</t>
    <phoneticPr fontId="2" type="noConversion"/>
  </si>
  <si>
    <t>BAR 조인트</t>
    <phoneticPr fontId="2" type="noConversion"/>
  </si>
  <si>
    <t>1-6</t>
    <phoneticPr fontId="2" type="noConversion"/>
  </si>
  <si>
    <t>금속공사</t>
    <phoneticPr fontId="2" type="noConversion"/>
  </si>
  <si>
    <t>용접봉(연강용)</t>
  </si>
  <si>
    <t>∮3.2  CR-13</t>
  </si>
  <si>
    <t>산소</t>
  </si>
  <si>
    <t>산소 가스</t>
  </si>
  <si>
    <t>아세틸렌</t>
  </si>
  <si>
    <t>철공</t>
  </si>
  <si>
    <t>용접공</t>
  </si>
  <si>
    <t>특별인부</t>
  </si>
  <si>
    <t>용접봉(스텐용)</t>
  </si>
  <si>
    <t>Φ3.2mm, AWSE308</t>
  </si>
  <si>
    <t>상1395</t>
  </si>
  <si>
    <t>L</t>
  </si>
  <si>
    <t>하33</t>
  </si>
  <si>
    <t>1</t>
  </si>
  <si>
    <t>철공</t>
    <phoneticPr fontId="2" type="noConversion"/>
  </si>
  <si>
    <t>비계공</t>
    <phoneticPr fontId="2" type="noConversion"/>
  </si>
  <si>
    <t>용접공</t>
    <phoneticPr fontId="2" type="noConversion"/>
  </si>
  <si>
    <t>특별인부</t>
    <phoneticPr fontId="2" type="noConversion"/>
  </si>
  <si>
    <t>KG</t>
    <phoneticPr fontId="2" type="noConversion"/>
  </si>
  <si>
    <t>간단</t>
    <phoneticPr fontId="2" type="noConversion"/>
  </si>
  <si>
    <t>M</t>
    <phoneticPr fontId="2" type="noConversion"/>
  </si>
  <si>
    <t>M</t>
    <phoneticPr fontId="2" type="noConversion"/>
  </si>
  <si>
    <t>T:1.6mm</t>
  </si>
  <si>
    <t>아연도강판</t>
    <phoneticPr fontId="12" type="noConversion"/>
  </si>
  <si>
    <t>1.60mm</t>
  </si>
  <si>
    <t>용접봉(스텐)</t>
    <phoneticPr fontId="2" type="noConversion"/>
  </si>
  <si>
    <t>잡철물제작설치(스텐)</t>
    <phoneticPr fontId="2" type="noConversion"/>
  </si>
  <si>
    <t>스테인리스강판(STS304)</t>
  </si>
  <si>
    <t>스테인리스강판(STS304)</t>
    <phoneticPr fontId="2" type="noConversion"/>
  </si>
  <si>
    <t>M2</t>
    <phoneticPr fontId="2" type="noConversion"/>
  </si>
  <si>
    <t>1.5T (STS304)</t>
    <phoneticPr fontId="2" type="noConversion"/>
  </si>
  <si>
    <t>상70</t>
    <phoneticPr fontId="2" type="noConversion"/>
  </si>
  <si>
    <t>SST'L 재료분리대</t>
  </si>
  <si>
    <t>M</t>
    <phoneticPr fontId="2" type="noConversion"/>
  </si>
  <si>
    <t>메탈스터드</t>
    <phoneticPr fontId="2" type="noConversion"/>
  </si>
  <si>
    <t>65*45*0.8</t>
    <phoneticPr fontId="2" type="noConversion"/>
  </si>
  <si>
    <t>메탈러너</t>
    <phoneticPr fontId="2" type="noConversion"/>
  </si>
  <si>
    <t>67*40*0.8</t>
    <phoneticPr fontId="2" type="noConversion"/>
  </si>
  <si>
    <t>나사 SCREW</t>
    <phoneticPr fontId="2" type="noConversion"/>
  </si>
  <si>
    <t>1-7</t>
  </si>
  <si>
    <t>창호공</t>
    <phoneticPr fontId="2" type="noConversion"/>
  </si>
  <si>
    <t>노무비의 2%</t>
    <phoneticPr fontId="2" type="noConversion"/>
  </si>
  <si>
    <t>유리공</t>
    <phoneticPr fontId="2" type="noConversion"/>
  </si>
  <si>
    <t>M2</t>
    <phoneticPr fontId="2" type="noConversion"/>
  </si>
  <si>
    <t>도장공사</t>
    <phoneticPr fontId="2" type="noConversion"/>
  </si>
  <si>
    <t>도장공사</t>
    <phoneticPr fontId="2" type="noConversion"/>
  </si>
  <si>
    <t>도장공사</t>
    <phoneticPr fontId="2" type="noConversion"/>
  </si>
  <si>
    <t>ALL PUTTY &amp; SANDING</t>
  </si>
  <si>
    <t>비닐페인트</t>
  </si>
  <si>
    <t>퍼티,PUTTY</t>
  </si>
  <si>
    <t>319퍼티,백색</t>
  </si>
  <si>
    <t>연마지</t>
  </si>
  <si>
    <t>연마지, #120~180, 230×280</t>
  </si>
  <si>
    <t>매</t>
  </si>
  <si>
    <t>도장공</t>
    <phoneticPr fontId="2" type="noConversion"/>
  </si>
  <si>
    <t>보통인부</t>
    <phoneticPr fontId="2" type="noConversion"/>
  </si>
  <si>
    <t>도장공</t>
    <phoneticPr fontId="2" type="noConversion"/>
  </si>
  <si>
    <t>인</t>
    <phoneticPr fontId="2" type="noConversion"/>
  </si>
  <si>
    <t>퍼티,PUTTY</t>
    <phoneticPr fontId="2" type="noConversion"/>
  </si>
  <si>
    <t>내부용,백색</t>
    <phoneticPr fontId="2" type="noConversion"/>
  </si>
  <si>
    <t>연마포, #120~180, 230*280</t>
  </si>
  <si>
    <t>비닐페인트</t>
    <phoneticPr fontId="2" type="noConversion"/>
  </si>
  <si>
    <t>L</t>
    <phoneticPr fontId="2" type="noConversion"/>
  </si>
  <si>
    <t>상628</t>
  </si>
  <si>
    <t>M2</t>
    <phoneticPr fontId="2" type="noConversion"/>
  </si>
  <si>
    <t>ALL PUTTY &amp; SANDING</t>
    <phoneticPr fontId="2" type="noConversion"/>
  </si>
  <si>
    <t>F-TAPE</t>
  </si>
  <si>
    <t>35~100mm</t>
  </si>
  <si>
    <t>필러</t>
  </si>
  <si>
    <t>인터넷</t>
  </si>
  <si>
    <t>벽체</t>
    <phoneticPr fontId="2" type="noConversion"/>
  </si>
  <si>
    <t>신너</t>
    <phoneticPr fontId="2" type="noConversion"/>
  </si>
  <si>
    <t>프라이머</t>
  </si>
  <si>
    <t>에폭시</t>
  </si>
  <si>
    <t xml:space="preserve"> L</t>
  </si>
  <si>
    <t>경    비</t>
    <phoneticPr fontId="2" type="noConversion"/>
  </si>
  <si>
    <t>50억 추정가격미만</t>
    <phoneticPr fontId="2" type="noConversion"/>
  </si>
  <si>
    <t>건축공사</t>
    <phoneticPr fontId="2" type="noConversion"/>
  </si>
  <si>
    <t>상146</t>
    <phoneticPr fontId="2" type="noConversion"/>
  </si>
  <si>
    <t>3T</t>
    <phoneticPr fontId="2" type="noConversion"/>
  </si>
  <si>
    <t>강화유리</t>
    <phoneticPr fontId="2" type="noConversion"/>
  </si>
  <si>
    <t>T:10mm 강화</t>
    <phoneticPr fontId="2" type="noConversion"/>
  </si>
  <si>
    <t>1-916</t>
    <phoneticPr fontId="2" type="noConversion"/>
  </si>
  <si>
    <t>방염 0.42MM</t>
    <phoneticPr fontId="2" type="noConversion"/>
  </si>
  <si>
    <t>플로베니아</t>
    <phoneticPr fontId="2" type="noConversion"/>
  </si>
  <si>
    <t>건축물 현장정리      건축 2-9-2  ( 호표 3 )</t>
    <phoneticPr fontId="12" type="noConversion"/>
  </si>
  <si>
    <t>호표5</t>
  </si>
  <si>
    <t>합판</t>
    <phoneticPr fontId="2" type="noConversion"/>
  </si>
  <si>
    <t>T:12MM</t>
    <phoneticPr fontId="2" type="noConversion"/>
  </si>
  <si>
    <t>M2</t>
    <phoneticPr fontId="2" type="noConversion"/>
  </si>
  <si>
    <t>T:9mm</t>
    <phoneticPr fontId="2" type="noConversion"/>
  </si>
  <si>
    <t>T:9MM</t>
    <phoneticPr fontId="2" type="noConversion"/>
  </si>
  <si>
    <t>T:5MM</t>
    <phoneticPr fontId="2" type="noConversion"/>
  </si>
  <si>
    <t>T:9MM 1PLY</t>
    <phoneticPr fontId="2" type="noConversion"/>
  </si>
  <si>
    <t>상628</t>
    <phoneticPr fontId="2" type="noConversion"/>
  </si>
  <si>
    <t>1-615</t>
    <phoneticPr fontId="2" type="noConversion"/>
  </si>
  <si>
    <t>M10</t>
    <phoneticPr fontId="2" type="noConversion"/>
  </si>
  <si>
    <t>상543</t>
    <phoneticPr fontId="2" type="noConversion"/>
  </si>
  <si>
    <t>1-701</t>
    <phoneticPr fontId="2" type="noConversion"/>
  </si>
  <si>
    <t>1-554</t>
    <phoneticPr fontId="2" type="noConversion"/>
  </si>
  <si>
    <t>합성수지에멀젼도료/내부 1급</t>
    <phoneticPr fontId="2" type="noConversion"/>
  </si>
  <si>
    <t>1-132</t>
    <phoneticPr fontId="2" type="noConversion"/>
  </si>
  <si>
    <t>상 639</t>
    <phoneticPr fontId="12" type="noConversion"/>
  </si>
  <si>
    <t xml:space="preserve"> 1-556</t>
    <phoneticPr fontId="2" type="noConversion"/>
  </si>
  <si>
    <t>상697</t>
    <phoneticPr fontId="2" type="noConversion"/>
  </si>
  <si>
    <t>1-643</t>
    <phoneticPr fontId="2" type="noConversion"/>
  </si>
  <si>
    <t>1-1507</t>
    <phoneticPr fontId="2" type="noConversion"/>
  </si>
  <si>
    <t xml:space="preserve"> 상634</t>
    <phoneticPr fontId="2" type="noConversion"/>
  </si>
  <si>
    <t>1-556</t>
    <phoneticPr fontId="2" type="noConversion"/>
  </si>
  <si>
    <t>1-71</t>
    <phoneticPr fontId="2" type="noConversion"/>
  </si>
  <si>
    <t>1-1145</t>
    <phoneticPr fontId="2" type="noConversion"/>
  </si>
  <si>
    <t>상1436</t>
    <phoneticPr fontId="2" type="noConversion"/>
  </si>
  <si>
    <t>상56</t>
    <phoneticPr fontId="12" type="noConversion"/>
  </si>
  <si>
    <t>1-60</t>
    <phoneticPr fontId="2" type="noConversion"/>
  </si>
  <si>
    <t xml:space="preserve"> 상711</t>
    <phoneticPr fontId="2" type="noConversion"/>
  </si>
  <si>
    <t xml:space="preserve"> 1-693</t>
    <phoneticPr fontId="2" type="noConversion"/>
  </si>
  <si>
    <t>1-553</t>
    <phoneticPr fontId="2" type="noConversion"/>
  </si>
  <si>
    <t>1-552</t>
    <phoneticPr fontId="2" type="noConversion"/>
  </si>
  <si>
    <t>상641</t>
    <phoneticPr fontId="2" type="noConversion"/>
  </si>
  <si>
    <t>상696</t>
    <phoneticPr fontId="2" type="noConversion"/>
  </si>
  <si>
    <t>상697</t>
    <phoneticPr fontId="2" type="noConversion"/>
  </si>
  <si>
    <t>1-642</t>
    <phoneticPr fontId="2" type="noConversion"/>
  </si>
  <si>
    <t>SST'L 15*30*30*30*15</t>
    <phoneticPr fontId="2" type="noConversion"/>
  </si>
  <si>
    <t>개</t>
    <phoneticPr fontId="2" type="noConversion"/>
  </si>
  <si>
    <t>경첩</t>
    <phoneticPr fontId="2" type="noConversion"/>
  </si>
  <si>
    <t>2*102*89</t>
    <phoneticPr fontId="2" type="noConversion"/>
  </si>
  <si>
    <t>상617</t>
    <phoneticPr fontId="2" type="noConversion"/>
  </si>
  <si>
    <t>라왕각재</t>
    <phoneticPr fontId="2" type="noConversion"/>
  </si>
  <si>
    <t>재</t>
    <phoneticPr fontId="2" type="noConversion"/>
  </si>
  <si>
    <t>못</t>
    <phoneticPr fontId="2" type="noConversion"/>
  </si>
  <si>
    <t>KG</t>
    <phoneticPr fontId="2" type="noConversion"/>
  </si>
  <si>
    <t>라왕각재</t>
    <phoneticPr fontId="2" type="noConversion"/>
  </si>
  <si>
    <t xml:space="preserve">30*30 </t>
    <phoneticPr fontId="2" type="noConversion"/>
  </si>
  <si>
    <t>1-129</t>
    <phoneticPr fontId="2" type="noConversion"/>
  </si>
  <si>
    <t>철못</t>
  </si>
  <si>
    <t>N25 1"</t>
  </si>
  <si>
    <t>상67</t>
  </si>
  <si>
    <t>1-76</t>
  </si>
  <si>
    <t>조달청 거래가격</t>
  </si>
  <si>
    <t>N 65</t>
  </si>
  <si>
    <t>글라스울</t>
    <phoneticPr fontId="2" type="noConversion"/>
  </si>
  <si>
    <t>50MM 24K</t>
    <phoneticPr fontId="2" type="noConversion"/>
  </si>
  <si>
    <t>상681</t>
    <phoneticPr fontId="2" type="noConversion"/>
  </si>
  <si>
    <t>1-627</t>
    <phoneticPr fontId="2" type="noConversion"/>
  </si>
  <si>
    <t>호표4</t>
    <phoneticPr fontId="2" type="noConversion"/>
  </si>
  <si>
    <t>SST'L 10*10*10*25</t>
    <phoneticPr fontId="2" type="noConversion"/>
  </si>
  <si>
    <t>호표12</t>
  </si>
  <si>
    <t>호표13</t>
  </si>
  <si>
    <t>호표15</t>
  </si>
  <si>
    <t>흡음텍스</t>
    <phoneticPr fontId="2" type="noConversion"/>
  </si>
  <si>
    <t>상709</t>
    <phoneticPr fontId="2" type="noConversion"/>
  </si>
  <si>
    <t>내선전공</t>
    <phoneticPr fontId="2" type="noConversion"/>
  </si>
  <si>
    <t>인</t>
    <phoneticPr fontId="2" type="noConversion"/>
  </si>
  <si>
    <t>노무비의 3%</t>
    <phoneticPr fontId="2" type="noConversion"/>
  </si>
  <si>
    <t>잡재료및 소모재료</t>
    <phoneticPr fontId="2" type="noConversion"/>
  </si>
  <si>
    <t>주재료비의 5%</t>
    <phoneticPr fontId="2" type="noConversion"/>
  </si>
  <si>
    <t>공구손료</t>
    <phoneticPr fontId="2" type="noConversion"/>
  </si>
  <si>
    <t>노무비의 4%</t>
    <phoneticPr fontId="2" type="noConversion"/>
  </si>
  <si>
    <t>1-2</t>
    <phoneticPr fontId="2" type="noConversion"/>
  </si>
  <si>
    <t>철거공사</t>
    <phoneticPr fontId="2" type="noConversion"/>
  </si>
  <si>
    <t>소  계  1 - 2</t>
    <phoneticPr fontId="2" type="noConversion"/>
  </si>
  <si>
    <t>철거공사</t>
    <phoneticPr fontId="2" type="noConversion"/>
  </si>
  <si>
    <t>타일본드</t>
    <phoneticPr fontId="2" type="noConversion"/>
  </si>
  <si>
    <t>PC-7000</t>
    <phoneticPr fontId="2" type="noConversion"/>
  </si>
  <si>
    <t>백시멘트</t>
  </si>
  <si>
    <t>40KG</t>
  </si>
  <si>
    <t xml:space="preserve"> 상105</t>
    <phoneticPr fontId="2" type="noConversion"/>
  </si>
  <si>
    <t xml:space="preserve"> 1-102</t>
    <phoneticPr fontId="2" type="noConversion"/>
  </si>
  <si>
    <t>1-5</t>
    <phoneticPr fontId="2" type="noConversion"/>
  </si>
  <si>
    <t>SST'L PLATE</t>
    <phoneticPr fontId="2" type="noConversion"/>
  </si>
  <si>
    <t>호표20</t>
  </si>
  <si>
    <t>1-2 철거공사</t>
    <phoneticPr fontId="2" type="noConversion"/>
  </si>
  <si>
    <t>라이닝</t>
    <phoneticPr fontId="2" type="noConversion"/>
  </si>
  <si>
    <t>L</t>
    <phoneticPr fontId="2" type="noConversion"/>
  </si>
  <si>
    <t>에폭시페인트 하도</t>
    <phoneticPr fontId="2" type="noConversion"/>
  </si>
  <si>
    <t>에폭시페인트 상도</t>
    <phoneticPr fontId="2" type="noConversion"/>
  </si>
  <si>
    <t>노무비의 3%</t>
    <phoneticPr fontId="2" type="noConversion"/>
  </si>
  <si>
    <t>도장후퍼티및연마</t>
    <phoneticPr fontId="2" type="noConversion"/>
  </si>
  <si>
    <t>1-5</t>
  </si>
  <si>
    <t>소  계  1 - 5</t>
    <phoneticPr fontId="2" type="noConversion"/>
  </si>
  <si>
    <t>호표6</t>
  </si>
  <si>
    <t>호표8</t>
  </si>
  <si>
    <t>호표18</t>
  </si>
  <si>
    <t>SST'L 15*15*30*15*15</t>
    <phoneticPr fontId="2" type="noConversion"/>
  </si>
  <si>
    <t>1-5 금속공사</t>
    <phoneticPr fontId="2" type="noConversion"/>
  </si>
  <si>
    <t>12.27%</t>
    <phoneticPr fontId="12" type="noConversion"/>
  </si>
  <si>
    <t>설      계     원     가     계     산     서</t>
    <phoneticPr fontId="12" type="noConversion"/>
  </si>
  <si>
    <t>7등급미만</t>
    <phoneticPr fontId="2" type="noConversion"/>
  </si>
  <si>
    <t>내장공</t>
    <phoneticPr fontId="2" type="noConversion"/>
  </si>
  <si>
    <t>도배공</t>
    <phoneticPr fontId="2" type="noConversion"/>
  </si>
  <si>
    <t>공구손료 및 경장비</t>
    <phoneticPr fontId="2" type="noConversion"/>
  </si>
  <si>
    <t>%</t>
    <phoneticPr fontId="2" type="noConversion"/>
  </si>
  <si>
    <t>수장공사</t>
    <phoneticPr fontId="2" type="noConversion"/>
  </si>
  <si>
    <t>수장본드</t>
    <phoneticPr fontId="2" type="noConversion"/>
  </si>
  <si>
    <t>접착제</t>
    <phoneticPr fontId="2" type="noConversion"/>
  </si>
  <si>
    <t>데코본드</t>
    <phoneticPr fontId="2" type="noConversion"/>
  </si>
  <si>
    <t>중밀도섬유판</t>
    <phoneticPr fontId="2" type="noConversion"/>
  </si>
  <si>
    <t xml:space="preserve">T:9MM </t>
    <phoneticPr fontId="2" type="noConversion"/>
  </si>
  <si>
    <t>걸레받이 설치</t>
    <phoneticPr fontId="2" type="noConversion"/>
  </si>
  <si>
    <t>M</t>
    <phoneticPr fontId="2" type="noConversion"/>
  </si>
  <si>
    <t>풀</t>
    <phoneticPr fontId="2" type="noConversion"/>
  </si>
  <si>
    <t>도배용</t>
    <phoneticPr fontId="2" type="noConversion"/>
  </si>
  <si>
    <t>인터넷</t>
    <phoneticPr fontId="2" type="noConversion"/>
  </si>
  <si>
    <t>창호공사</t>
    <phoneticPr fontId="2" type="noConversion"/>
  </si>
  <si>
    <t>코킹</t>
    <phoneticPr fontId="2" type="noConversion"/>
  </si>
  <si>
    <t>M</t>
    <phoneticPr fontId="2" type="noConversion"/>
  </si>
  <si>
    <t>코킹공</t>
    <phoneticPr fontId="2" type="noConversion"/>
  </si>
  <si>
    <t>수장합판 설치</t>
  </si>
  <si>
    <t>수장합판 설치</t>
    <phoneticPr fontId="2" type="noConversion"/>
  </si>
  <si>
    <t>벽체틀 설치</t>
  </si>
  <si>
    <t>벽체틀 설치</t>
    <phoneticPr fontId="2" type="noConversion"/>
  </si>
  <si>
    <t>호표10</t>
  </si>
  <si>
    <t>노무비의 3%</t>
    <phoneticPr fontId="2" type="noConversion"/>
  </si>
  <si>
    <t>잡재료 및 소모재료</t>
    <phoneticPr fontId="2" type="noConversion"/>
  </si>
  <si>
    <t>주재료비 3%</t>
    <phoneticPr fontId="2" type="noConversion"/>
  </si>
  <si>
    <t>잡재료비</t>
    <phoneticPr fontId="2" type="noConversion"/>
  </si>
  <si>
    <t>노무비의 3%</t>
    <phoneticPr fontId="2" type="noConversion"/>
  </si>
  <si>
    <t>노무비의 5%</t>
    <phoneticPr fontId="2" type="noConversion"/>
  </si>
  <si>
    <t>잡철물제작설치(스텐)   간단</t>
    <phoneticPr fontId="2" type="noConversion"/>
  </si>
  <si>
    <t>(호표 13)</t>
    <phoneticPr fontId="2" type="noConversion"/>
  </si>
  <si>
    <t>T:5mm</t>
    <phoneticPr fontId="2" type="noConversion"/>
  </si>
  <si>
    <t>유리공</t>
    <phoneticPr fontId="2" type="noConversion"/>
  </si>
  <si>
    <t>코킹</t>
  </si>
  <si>
    <t>코킹</t>
    <phoneticPr fontId="2" type="noConversion"/>
  </si>
  <si>
    <t>M</t>
    <phoneticPr fontId="2" type="noConversion"/>
  </si>
  <si>
    <t>코킹공</t>
    <phoneticPr fontId="2" type="noConversion"/>
  </si>
  <si>
    <t>코킹</t>
    <phoneticPr fontId="2" type="noConversion"/>
  </si>
  <si>
    <t>1-3</t>
    <phoneticPr fontId="2" type="noConversion"/>
  </si>
  <si>
    <t>1-4</t>
    <phoneticPr fontId="2" type="noConversion"/>
  </si>
  <si>
    <t>소  계  1 - 3</t>
    <phoneticPr fontId="2" type="noConversion"/>
  </si>
  <si>
    <t>수장공사</t>
    <phoneticPr fontId="2" type="noConversion"/>
  </si>
  <si>
    <t>걸레받이 설치</t>
  </si>
  <si>
    <t>벽체</t>
  </si>
  <si>
    <t>1-6</t>
    <phoneticPr fontId="2" type="noConversion"/>
  </si>
  <si>
    <t>창호공사</t>
    <phoneticPr fontId="2" type="noConversion"/>
  </si>
  <si>
    <t>M2</t>
    <phoneticPr fontId="2" type="noConversion"/>
  </si>
  <si>
    <t>M</t>
    <phoneticPr fontId="2" type="noConversion"/>
  </si>
  <si>
    <t>도장후퍼티및연마</t>
  </si>
  <si>
    <t>1-7</t>
    <phoneticPr fontId="2" type="noConversion"/>
  </si>
  <si>
    <t>1-8</t>
  </si>
  <si>
    <t>1-8</t>
    <phoneticPr fontId="2" type="noConversion"/>
  </si>
  <si>
    <t>소  계  1 - 7</t>
    <phoneticPr fontId="2" type="noConversion"/>
  </si>
  <si>
    <t>소  계  1 - 6</t>
    <phoneticPr fontId="2" type="noConversion"/>
  </si>
  <si>
    <t>소  계  1 - 4</t>
    <phoneticPr fontId="2" type="noConversion"/>
  </si>
  <si>
    <t>1-9</t>
  </si>
  <si>
    <t>T:9MM</t>
  </si>
  <si>
    <t>1-5</t>
    <phoneticPr fontId="2" type="noConversion"/>
  </si>
  <si>
    <t>1-3</t>
    <phoneticPr fontId="2" type="noConversion"/>
  </si>
  <si>
    <t>인테리어필름 취부</t>
  </si>
  <si>
    <t>인테리어필름 취부</t>
    <phoneticPr fontId="2" type="noConversion"/>
  </si>
  <si>
    <t>1-3 목공사</t>
    <phoneticPr fontId="2" type="noConversion"/>
  </si>
  <si>
    <t>1-4 수장공사</t>
    <phoneticPr fontId="2" type="noConversion"/>
  </si>
  <si>
    <t>1-6 창호공사</t>
    <phoneticPr fontId="2" type="noConversion"/>
  </si>
  <si>
    <t>1-7 도장공사</t>
    <phoneticPr fontId="2" type="noConversion"/>
  </si>
  <si>
    <t>SET</t>
  </si>
  <si>
    <t>1-7</t>
    <phoneticPr fontId="2" type="noConversion"/>
  </si>
  <si>
    <t>인터넷</t>
    <phoneticPr fontId="2" type="noConversion"/>
  </si>
  <si>
    <t>T:12MM (300*600)</t>
    <phoneticPr fontId="2" type="noConversion"/>
  </si>
  <si>
    <t>1-645</t>
    <phoneticPr fontId="2" type="noConversion"/>
  </si>
  <si>
    <t>상137</t>
    <phoneticPr fontId="2" type="noConversion"/>
  </si>
  <si>
    <t>용천상사</t>
    <phoneticPr fontId="2" type="noConversion"/>
  </si>
  <si>
    <t>경량 벽체철골틀 해체     건축 12-2-5  ( 호표 4 )</t>
    <phoneticPr fontId="12" type="noConversion"/>
  </si>
  <si>
    <t>경량 벽체철골틀 해체</t>
    <phoneticPr fontId="2" type="noConversion"/>
  </si>
  <si>
    <t>경량 천장철골틀 해체</t>
    <phoneticPr fontId="2" type="noConversion"/>
  </si>
  <si>
    <t>석고판(벽체) 해체</t>
  </si>
  <si>
    <t>석고판(벽체) 해체</t>
    <phoneticPr fontId="2" type="noConversion"/>
  </si>
  <si>
    <t>호표7</t>
  </si>
  <si>
    <t>경량천장철골틀 해체</t>
    <phoneticPr fontId="2" type="noConversion"/>
  </si>
  <si>
    <t>경량벽체철골틀 철거</t>
    <phoneticPr fontId="2" type="noConversion"/>
  </si>
  <si>
    <t>석고판(벽체) 해체</t>
    <phoneticPr fontId="2" type="noConversion"/>
  </si>
  <si>
    <t>석고판(천정) 해체</t>
    <phoneticPr fontId="2" type="noConversion"/>
  </si>
  <si>
    <t>라왕각재 70*30</t>
    <phoneticPr fontId="2" type="noConversion"/>
  </si>
  <si>
    <t>70*30 @450*450</t>
    <phoneticPr fontId="2" type="noConversion"/>
  </si>
  <si>
    <t xml:space="preserve">70*30 </t>
    <phoneticPr fontId="2" type="noConversion"/>
  </si>
  <si>
    <t>석고보드</t>
    <phoneticPr fontId="2" type="noConversion"/>
  </si>
  <si>
    <t>T:9.5MM 2PLY</t>
    <phoneticPr fontId="2" type="noConversion"/>
  </si>
  <si>
    <t>천정석고판 설치(치장용)</t>
    <phoneticPr fontId="2" type="noConversion"/>
  </si>
  <si>
    <t>벽체석고판 설치(치장용)</t>
    <phoneticPr fontId="2" type="noConversion"/>
  </si>
  <si>
    <t>벽체석고판 설치</t>
    <phoneticPr fontId="2" type="noConversion"/>
  </si>
  <si>
    <t>노무비의 1%</t>
    <phoneticPr fontId="2" type="noConversion"/>
  </si>
  <si>
    <t>석고판 설치(접착제)</t>
    <phoneticPr fontId="2" type="noConversion"/>
  </si>
  <si>
    <t>단열재설치</t>
    <phoneticPr fontId="2" type="noConversion"/>
  </si>
  <si>
    <t>단열재설치</t>
    <phoneticPr fontId="2" type="noConversion"/>
  </si>
  <si>
    <t>50이하</t>
    <phoneticPr fontId="2" type="noConversion"/>
  </si>
  <si>
    <t xml:space="preserve">단열재 </t>
    <phoneticPr fontId="2" type="noConversion"/>
  </si>
  <si>
    <t>단열재</t>
    <phoneticPr fontId="2" type="noConversion"/>
  </si>
  <si>
    <t>M2</t>
    <phoneticPr fontId="2" type="noConversion"/>
  </si>
  <si>
    <t>단열재 공간넣기</t>
    <phoneticPr fontId="2" type="noConversion"/>
  </si>
  <si>
    <t>T:50MM</t>
    <phoneticPr fontId="2" type="noConversion"/>
  </si>
  <si>
    <t>상687</t>
    <phoneticPr fontId="2" type="noConversion"/>
  </si>
  <si>
    <t>호표14</t>
  </si>
  <si>
    <t>M-STUD</t>
    <phoneticPr fontId="2" type="noConversion"/>
  </si>
  <si>
    <t>천정</t>
    <phoneticPr fontId="2" type="noConversion"/>
  </si>
  <si>
    <t>천정</t>
    <phoneticPr fontId="2" type="noConversion"/>
  </si>
  <si>
    <t>65mm</t>
    <phoneticPr fontId="2" type="noConversion"/>
  </si>
  <si>
    <t>인</t>
    <phoneticPr fontId="2" type="noConversion"/>
  </si>
  <si>
    <t>M2</t>
    <phoneticPr fontId="2" type="noConversion"/>
  </si>
  <si>
    <t>호표19</t>
  </si>
  <si>
    <t>개</t>
    <phoneticPr fontId="2" type="noConversion"/>
  </si>
  <si>
    <t>개</t>
    <phoneticPr fontId="2" type="noConversion"/>
  </si>
  <si>
    <t>호표24</t>
  </si>
  <si>
    <t>설비공사</t>
    <phoneticPr fontId="2" type="noConversion"/>
  </si>
  <si>
    <t>WOOD DOOR &amp; FRAME</t>
    <phoneticPr fontId="2" type="noConversion"/>
  </si>
  <si>
    <t>900*2400</t>
    <phoneticPr fontId="2" type="noConversion"/>
  </si>
  <si>
    <t>set</t>
    <phoneticPr fontId="2" type="noConversion"/>
  </si>
  <si>
    <t>[ 합           계 ]</t>
    <phoneticPr fontId="2" type="noConversion"/>
  </si>
  <si>
    <t>소  계  1 - 8</t>
    <phoneticPr fontId="2" type="noConversion"/>
  </si>
  <si>
    <t>2</t>
    <phoneticPr fontId="2" type="noConversion"/>
  </si>
  <si>
    <t>메탈스터드 (Metal Stud)</t>
  </si>
  <si>
    <t>65*45*0.8</t>
  </si>
  <si>
    <t>메탈러너</t>
  </si>
  <si>
    <t>보통 ,(호표 18)</t>
  </si>
  <si>
    <t>나사(SCREW)</t>
  </si>
  <si>
    <t>DIA, 1S</t>
  </si>
  <si>
    <t>HILTI PIN</t>
  </si>
  <si>
    <t>DN-350</t>
  </si>
  <si>
    <t>HILTI PIN</t>
    <phoneticPr fontId="2" type="noConversion"/>
  </si>
  <si>
    <t>개</t>
    <phoneticPr fontId="2" type="noConversion"/>
  </si>
  <si>
    <t>인서트</t>
  </si>
  <si>
    <t>CLEAR GLASS 취부</t>
    <phoneticPr fontId="2" type="noConversion"/>
  </si>
  <si>
    <t xml:space="preserve">CLEAR GLASS </t>
    <phoneticPr fontId="2" type="noConversion"/>
  </si>
  <si>
    <t>WOOD DOOR &amp; FRAME</t>
    <phoneticPr fontId="2" type="noConversion"/>
  </si>
  <si>
    <t>SET</t>
    <phoneticPr fontId="2" type="noConversion"/>
  </si>
  <si>
    <t>SET</t>
    <phoneticPr fontId="2" type="noConversion"/>
  </si>
  <si>
    <t>SET</t>
    <phoneticPr fontId="2" type="noConversion"/>
  </si>
  <si>
    <t>노무비</t>
    <phoneticPr fontId="2" type="noConversion"/>
  </si>
  <si>
    <t>인</t>
    <phoneticPr fontId="2" type="noConversion"/>
  </si>
  <si>
    <t>보통인부</t>
    <phoneticPr fontId="2" type="noConversion"/>
  </si>
  <si>
    <t>인</t>
    <phoneticPr fontId="2" type="noConversion"/>
  </si>
  <si>
    <t>900*2400</t>
    <phoneticPr fontId="2" type="noConversion"/>
  </si>
  <si>
    <t>개소</t>
    <phoneticPr fontId="2" type="noConversion"/>
  </si>
  <si>
    <t>문손잡이</t>
    <phoneticPr fontId="2" type="noConversion"/>
  </si>
  <si>
    <t>노무비</t>
    <phoneticPr fontId="2" type="noConversion"/>
  </si>
  <si>
    <t>문손잡이</t>
    <phoneticPr fontId="2" type="noConversion"/>
  </si>
  <si>
    <t>개</t>
    <phoneticPr fontId="2" type="noConversion"/>
  </si>
  <si>
    <t>상617</t>
    <phoneticPr fontId="2" type="noConversion"/>
  </si>
  <si>
    <t>도어록 설치</t>
  </si>
  <si>
    <t>개소</t>
  </si>
  <si>
    <t>CLEAR GLASS 취부</t>
    <phoneticPr fontId="2" type="noConversion"/>
  </si>
  <si>
    <t>맑은유리</t>
    <phoneticPr fontId="2" type="noConversion"/>
  </si>
  <si>
    <t xml:space="preserve">T:5mm </t>
    <phoneticPr fontId="2" type="noConversion"/>
  </si>
  <si>
    <t>M2</t>
    <phoneticPr fontId="2" type="noConversion"/>
  </si>
  <si>
    <t>상624</t>
    <phoneticPr fontId="2" type="noConversion"/>
  </si>
  <si>
    <t>호표11</t>
    <phoneticPr fontId="2" type="noConversion"/>
  </si>
  <si>
    <t>호표21</t>
  </si>
  <si>
    <t>호표26</t>
  </si>
  <si>
    <t>호표27</t>
  </si>
  <si>
    <t>호표28</t>
  </si>
  <si>
    <t>호표31</t>
  </si>
  <si>
    <t>호표32</t>
  </si>
  <si>
    <t>경량 천장철골틀 해체     건축 12-2-5  ( 호표 5 )</t>
    <phoneticPr fontId="12" type="noConversion"/>
  </si>
  <si>
    <t>석고판(벽체) 해체     건축 12-2-5  ( 호표 6 )</t>
    <phoneticPr fontId="12" type="noConversion"/>
  </si>
  <si>
    <t>건축목공(구조부 일반)</t>
    <phoneticPr fontId="12" type="noConversion"/>
  </si>
  <si>
    <t>T:9.5MM 2PLY</t>
    <phoneticPr fontId="2" type="noConversion"/>
  </si>
  <si>
    <t>설비공사</t>
  </si>
  <si>
    <t>도어록 설치</t>
    <phoneticPr fontId="2" type="noConversion"/>
  </si>
  <si>
    <t>개</t>
    <phoneticPr fontId="2" type="noConversion"/>
  </si>
  <si>
    <t>인</t>
    <phoneticPr fontId="2" type="noConversion"/>
  </si>
  <si>
    <t>위생공</t>
    <phoneticPr fontId="2" type="noConversion"/>
  </si>
  <si>
    <t>개</t>
    <phoneticPr fontId="2" type="noConversion"/>
  </si>
  <si>
    <t>설비공사</t>
    <phoneticPr fontId="2" type="noConversion"/>
  </si>
  <si>
    <t>CLEAR GLASS 취부</t>
    <phoneticPr fontId="2" type="noConversion"/>
  </si>
  <si>
    <t>1-701</t>
  </si>
  <si>
    <t>고양시 학교밖청소년 전용공간 조성공사</t>
    <phoneticPr fontId="12" type="noConversion"/>
  </si>
  <si>
    <t>고양시 학교밖청소년 전용공간 조성공사</t>
    <phoneticPr fontId="2" type="noConversion"/>
  </si>
  <si>
    <t>공사명 : 고양시 학교밖청소년 전용공간 조성공사</t>
    <phoneticPr fontId="2" type="noConversion"/>
  </si>
  <si>
    <t>주   소 :   서울시 성동구 아차산로1길 15, 2층</t>
    <phoneticPr fontId="12" type="noConversion"/>
  </si>
  <si>
    <t>상   호 :  유케이에스티 건축사사무소</t>
    <phoneticPr fontId="12" type="noConversion"/>
  </si>
  <si>
    <r>
      <t>대표자 :  김   유   경</t>
    </r>
    <r>
      <rPr>
        <sz val="11"/>
        <rFont val="바탕"/>
        <family val="1"/>
        <charset val="129"/>
      </rPr>
      <t xml:space="preserve">  (인)</t>
    </r>
    <phoneticPr fontId="12" type="noConversion"/>
  </si>
  <si>
    <t>=221.01</t>
    <phoneticPr fontId="2" type="noConversion"/>
  </si>
  <si>
    <t>내장공</t>
    <phoneticPr fontId="2" type="noConversion"/>
  </si>
  <si>
    <t>라왕각재 70*30</t>
    <phoneticPr fontId="2" type="noConversion"/>
  </si>
  <si>
    <t>=(1.8*2)*4</t>
    <phoneticPr fontId="2" type="noConversion"/>
  </si>
  <si>
    <t>PVC계 타일</t>
    <phoneticPr fontId="12" type="noConversion"/>
  </si>
  <si>
    <t>T:3mm</t>
    <phoneticPr fontId="2" type="noConversion"/>
  </si>
  <si>
    <t>P-TILE</t>
    <phoneticPr fontId="2" type="noConversion"/>
  </si>
  <si>
    <t>PVC계 타일 바닥재 설치</t>
  </si>
  <si>
    <t>PVC계 타일 바닥재 설치</t>
    <phoneticPr fontId="2" type="noConversion"/>
  </si>
  <si>
    <t>흡음텍스 설치</t>
    <phoneticPr fontId="2" type="noConversion"/>
  </si>
  <si>
    <t xml:space="preserve">흡음텍스 </t>
    <phoneticPr fontId="12" type="noConversion"/>
  </si>
  <si>
    <t>T:12mm</t>
    <phoneticPr fontId="2" type="noConversion"/>
  </si>
  <si>
    <t>흡음텍스 설치</t>
    <phoneticPr fontId="2" type="noConversion"/>
  </si>
  <si>
    <t>(300*600)</t>
    <phoneticPr fontId="2" type="noConversion"/>
  </si>
  <si>
    <t>흡음텍스 설치</t>
    <phoneticPr fontId="2" type="noConversion"/>
  </si>
  <si>
    <t>=((1.8+1.8+1.8)*2*4+(7.65+7.65+7.65+7.65+9.66+9.66+5.31+5.31+4.45+4.45))</t>
    <phoneticPr fontId="2" type="noConversion"/>
  </si>
  <si>
    <t>T:9MM 1PLY</t>
  </si>
  <si>
    <t>수장합판 설치</t>
    <phoneticPr fontId="2" type="noConversion"/>
  </si>
  <si>
    <t>MDF 9MM 1PLY</t>
    <phoneticPr fontId="2" type="noConversion"/>
  </si>
  <si>
    <t>MDF</t>
    <phoneticPr fontId="2" type="noConversion"/>
  </si>
  <si>
    <t>=(3.12+6.1+5.03)</t>
    <phoneticPr fontId="2" type="noConversion"/>
  </si>
  <si>
    <t>=3</t>
    <phoneticPr fontId="2" type="noConversion"/>
  </si>
  <si>
    <t>=(1.9*1*4)+(0.5*0.9)*8</t>
    <phoneticPr fontId="2" type="noConversion"/>
  </si>
  <si>
    <t>도어록설치</t>
    <phoneticPr fontId="2" type="noConversion"/>
  </si>
  <si>
    <t>=(1.9+1+1.9+1)*4+(0.5+0.5+0.9+0.9)*8</t>
    <phoneticPr fontId="2" type="noConversion"/>
  </si>
  <si>
    <t>BACK PAINT GLASS 취부</t>
    <phoneticPr fontId="2" type="noConversion"/>
  </si>
  <si>
    <t>BACK PAINT GLASS 취부</t>
    <phoneticPr fontId="2" type="noConversion"/>
  </si>
  <si>
    <t>ST'L MOULDING</t>
    <phoneticPr fontId="2" type="noConversion"/>
  </si>
  <si>
    <t>ST'L 60*30</t>
    <phoneticPr fontId="2" type="noConversion"/>
  </si>
  <si>
    <t>ST'L 30*30</t>
    <phoneticPr fontId="2" type="noConversion"/>
  </si>
  <si>
    <t>=(1.8*2*4)</t>
    <phoneticPr fontId="2" type="noConversion"/>
  </si>
  <si>
    <t>PVC 바닥재 해체</t>
    <phoneticPr fontId="2" type="noConversion"/>
  </si>
  <si>
    <t>=(4+4+9+2+4)*0.6</t>
    <phoneticPr fontId="2" type="noConversion"/>
  </si>
  <si>
    <t>BACK PAINT GLASS 취부</t>
    <phoneticPr fontId="2" type="noConversion"/>
  </si>
  <si>
    <t>=(4.59*1.2)+(2.84*1.2)+(2.7*1.2)</t>
    <phoneticPr fontId="2" type="noConversion"/>
  </si>
  <si>
    <t>1000*2100</t>
    <phoneticPr fontId="2" type="noConversion"/>
  </si>
  <si>
    <t>T:10mm</t>
    <phoneticPr fontId="2" type="noConversion"/>
  </si>
  <si>
    <t xml:space="preserve">BACK PAINT GLASS </t>
    <phoneticPr fontId="2" type="noConversion"/>
  </si>
  <si>
    <t>BACK PAINT GLASS</t>
    <phoneticPr fontId="2" type="noConversion"/>
  </si>
  <si>
    <t>M2</t>
    <phoneticPr fontId="2" type="noConversion"/>
  </si>
  <si>
    <t xml:space="preserve"> 예승유리</t>
    <phoneticPr fontId="2" type="noConversion"/>
  </si>
  <si>
    <t>1-8 설비공사</t>
    <phoneticPr fontId="2" type="noConversion"/>
  </si>
  <si>
    <t>PVC 바닥 해체</t>
    <phoneticPr fontId="2" type="noConversion"/>
  </si>
  <si>
    <t>PVC 타일 바닥재 설치</t>
    <phoneticPr fontId="2" type="noConversion"/>
  </si>
  <si>
    <t>=14.4</t>
    <phoneticPr fontId="2" type="noConversion"/>
  </si>
  <si>
    <t>=((1.8+1.8)*2.3+(0.41+0.41+0.55+0.55)*2.3+(1.19*1))*4+(7.65+7.65+9.66+5.34+4.45+0.62+0.88)*2.5-(1*2.1*3)</t>
    <phoneticPr fontId="2" type="noConversion"/>
  </si>
  <si>
    <t>=(((1.8+1.8)*2.3+(0.41+0.41+0.55+0.55)*2.3+(1.19*1))*4+(7.65+7.65+9.66+5.34+4.45+0.62+0.88)*2.5)*2-(57.78/2)-(1*2.1*3*2)</t>
    <phoneticPr fontId="2" type="noConversion"/>
  </si>
  <si>
    <t>ST'L PLATE</t>
    <phoneticPr fontId="2" type="noConversion"/>
  </si>
  <si>
    <t>ST'L 60*60*30*30</t>
    <phoneticPr fontId="2" type="noConversion"/>
  </si>
  <si>
    <t>ST'L 30*30*30*30</t>
    <phoneticPr fontId="2" type="noConversion"/>
  </si>
  <si>
    <t>PVC 바닥재 해체</t>
    <phoneticPr fontId="2" type="noConversion"/>
  </si>
  <si>
    <t>흡음텍스 해체</t>
    <phoneticPr fontId="2" type="noConversion"/>
  </si>
  <si>
    <t>흡음텍스 해체</t>
    <phoneticPr fontId="2" type="noConversion"/>
  </si>
  <si>
    <t>흡음텍스 해체     건축 12-2-2  ( 호표 7 )</t>
    <phoneticPr fontId="12" type="noConversion"/>
  </si>
  <si>
    <t>호표16</t>
  </si>
  <si>
    <t>ST'L PLATE</t>
    <phoneticPr fontId="2" type="noConversion"/>
  </si>
  <si>
    <t>ST'L 60*60*30*30</t>
    <phoneticPr fontId="2" type="noConversion"/>
  </si>
  <si>
    <t>ST'L 30*30*30*30</t>
    <phoneticPr fontId="2" type="noConversion"/>
  </si>
  <si>
    <t>호표22</t>
  </si>
  <si>
    <t>호표23</t>
  </si>
  <si>
    <t>호표29</t>
  </si>
  <si>
    <t>호표33</t>
  </si>
  <si>
    <t>PVC 바닥재해체     건축 12-2-8  ( 호표 8 )</t>
    <phoneticPr fontId="12" type="noConversion"/>
  </si>
  <si>
    <t>호표9</t>
    <phoneticPr fontId="2" type="noConversion"/>
  </si>
  <si>
    <t>칸막이 벽틀설치    건축 4-2-1  ( 호표 9)</t>
    <phoneticPr fontId="12" type="noConversion"/>
  </si>
  <si>
    <t>수장합판 설치    건축 4-2-4  ( 호표 10 )</t>
    <phoneticPr fontId="12" type="noConversion"/>
  </si>
  <si>
    <t>PVC계 바닥재설치 XKDLF 건축 5-1-1  ( 호표 11 )</t>
    <phoneticPr fontId="12" type="noConversion"/>
  </si>
  <si>
    <t>흡음텍스 설치 건축 5-2-1  ( 호표 12 )</t>
    <phoneticPr fontId="12" type="noConversion"/>
  </si>
  <si>
    <t>천정석고판 설치(치장용)  건축 5-2-3  ( 호표 13 )</t>
    <phoneticPr fontId="12" type="noConversion"/>
  </si>
  <si>
    <t>벽체석고판 설치(접착제)  건축 5-3-2  ( 호표 14 )</t>
    <phoneticPr fontId="12" type="noConversion"/>
  </si>
  <si>
    <t>걸레받이 설치 (중밀도섬유판)  건축 5-4-5 ( 호표 15 )</t>
    <phoneticPr fontId="12" type="noConversion"/>
  </si>
  <si>
    <t>단열재 공간넣기  건축 5-4-1 ( 호표 16 )</t>
    <phoneticPr fontId="12" type="noConversion"/>
  </si>
  <si>
    <t>용접봉(연강용)</t>
    <phoneticPr fontId="2" type="noConversion"/>
  </si>
  <si>
    <t>잡철물제작설치(철제)   간단</t>
    <phoneticPr fontId="2" type="noConversion"/>
  </si>
  <si>
    <t xml:space="preserve">ST'L GLASS FRAME  60*30*60*30 /건축 8-4  ( 호표 22 )    </t>
    <phoneticPr fontId="2" type="noConversion"/>
  </si>
  <si>
    <t>아연도강판</t>
    <phoneticPr fontId="2" type="noConversion"/>
  </si>
  <si>
    <t>잡철물제작설치(철제)</t>
    <phoneticPr fontId="2" type="noConversion"/>
  </si>
  <si>
    <t>잡철물제작설치(철제)</t>
    <phoneticPr fontId="2" type="noConversion"/>
  </si>
  <si>
    <t>잡철물제작설치(철제)</t>
    <phoneticPr fontId="2" type="noConversion"/>
  </si>
  <si>
    <t>보통</t>
    <phoneticPr fontId="2" type="noConversion"/>
  </si>
  <si>
    <t>=(1.19+0.8+1.19+0.8)*4+(0.5+0.5+0.9+0.9)*8</t>
    <phoneticPr fontId="2" type="noConversion"/>
  </si>
  <si>
    <t>=(4.59+1.2+1.2+4.59)+(2.84+1.2+1.2+2.84)+(2.7+2.7+1.2+1.2)</t>
    <phoneticPr fontId="2" type="noConversion"/>
  </si>
  <si>
    <t>=((1.8*2.3*2)+(0.41+0.41+0.55+0.55)*2.3*2+(1.9*1*2))*4+(7.63+9.64+4.4+2.4)*2.5+(4.34+4.34+2.84+2.84)*2.5+(2.7+5.34+2.7)*2.5+(1.8*2)*4-(1*2.1*3)*2</t>
    <phoneticPr fontId="2" type="noConversion"/>
  </si>
  <si>
    <t>=((1.8*2.3*2)+(0.41+0.41+0.55+0.55)*2.3*2+(1.9*1*2))*4+(7.63+9.64+4.4+2.4)*2.5+(4.34+4.34+2.84+2.84)*2.5+(2.7+5.34+2.7)*2.5-(1*2.1*3*2)</t>
    <phoneticPr fontId="2" type="noConversion"/>
  </si>
  <si>
    <t>=((1.8*2.3*2)+(0.41+0.41+0.55+0.55)*2.3*2+(1.9*1*2))*4+(7.63+9.64+4.4+2.4)*2.5+(4.34+4.34+2.84+2.84)*2.5+(2.7+5.34+2.7)*2.5+(1.8*2)*4-(1*2.1*3*2)</t>
    <phoneticPr fontId="2" type="noConversion"/>
  </si>
  <si>
    <t>잡철물제작설치(철제)  건축 8-4  (호표 17)   간단</t>
    <phoneticPr fontId="2" type="noConversion"/>
  </si>
  <si>
    <t>호표17</t>
    <phoneticPr fontId="2" type="noConversion"/>
  </si>
  <si>
    <t>잡철물제작설치(철제)  건축 8-4  (호표 18)   보통</t>
    <phoneticPr fontId="12" type="noConversion"/>
  </si>
  <si>
    <t>잡철물제작설치(스텐)  건축 8-4  (호표 19)   간단</t>
    <phoneticPr fontId="2" type="noConversion"/>
  </si>
  <si>
    <t>잡철물제작설치(스텐)  건축 8-4  (호표 20)   보통</t>
    <phoneticPr fontId="12" type="noConversion"/>
  </si>
  <si>
    <t xml:space="preserve">SST'L 재료분리대  15*15*30*15*15 /건축 8-4  ( 호표 21 )    </t>
    <phoneticPr fontId="2" type="noConversion"/>
  </si>
  <si>
    <t xml:space="preserve">ST'L BOARD FRAME  30*30*30*30 /건축 8-4  ( 호표 23 )    </t>
    <phoneticPr fontId="2" type="noConversion"/>
  </si>
  <si>
    <t xml:space="preserve">M-STUD  /건축 8-2-5  ( 호표 24 )    </t>
    <phoneticPr fontId="2" type="noConversion"/>
  </si>
  <si>
    <t>보통 ,(호표 18)</t>
    <phoneticPr fontId="2" type="noConversion"/>
  </si>
  <si>
    <t>보통 ,(호표 20)</t>
    <phoneticPr fontId="2" type="noConversion"/>
  </si>
  <si>
    <t>(호표 17)</t>
    <phoneticPr fontId="2" type="noConversion"/>
  </si>
  <si>
    <t>설  계   원 가 계 산 서</t>
    <phoneticPr fontId="10" type="noConversion"/>
  </si>
  <si>
    <t>호표25</t>
    <phoneticPr fontId="2" type="noConversion"/>
  </si>
  <si>
    <t>호표30</t>
    <phoneticPr fontId="2" type="noConversion"/>
  </si>
  <si>
    <t>호표34</t>
    <phoneticPr fontId="2" type="noConversion"/>
  </si>
  <si>
    <t xml:space="preserve"> WOOD DOOR &amp; FRAME 설치 (1.0~3.0m2)   /건축 10-1-1  ( 호표 25 )    </t>
    <phoneticPr fontId="2" type="noConversion"/>
  </si>
  <si>
    <t xml:space="preserve"> 도어록 설치   / 건축 10-1-4  ( 호표 26 )    </t>
    <phoneticPr fontId="2" type="noConversion"/>
  </si>
  <si>
    <t xml:space="preserve">CLEAR GLASS 설치  /건축 10-3-1  ( 호표 27 )    </t>
    <phoneticPr fontId="2" type="noConversion"/>
  </si>
  <si>
    <t xml:space="preserve">BACK PAINT GLASS 설치  /건축 10-3-1  ( 호표 28 )    </t>
    <phoneticPr fontId="2" type="noConversion"/>
  </si>
  <si>
    <t xml:space="preserve">코킹  /건축 10-3-1  ( 호표 29 )    </t>
    <phoneticPr fontId="2" type="noConversion"/>
  </si>
  <si>
    <t xml:space="preserve"> 바탕만들기 (석고보드면,벽체, 올퍼티)  / 건축 11-1-2  ( 호표 30 )    </t>
    <phoneticPr fontId="2" type="noConversion"/>
  </si>
  <si>
    <t xml:space="preserve"> 비닐페인트(수성페인트) / 2회 벽체    건축 11-2-2  ( 호표 31 )    </t>
    <phoneticPr fontId="2" type="noConversion"/>
  </si>
  <si>
    <t xml:space="preserve"> 비닐페인트(수성페인트) / 2회 천정    건축 11-2-2  ( 호표 32 )    </t>
    <phoneticPr fontId="2" type="noConversion"/>
  </si>
  <si>
    <t xml:space="preserve"> 도장후 퍼티 및 연마     건축 11-1-5  ( 호표 33 )    </t>
    <phoneticPr fontId="2" type="noConversion"/>
  </si>
  <si>
    <t xml:space="preserve"> 디퓨져설치 기계설비 2-2-5 ( 호표 34 )    </t>
    <phoneticPr fontId="2" type="noConversion"/>
  </si>
  <si>
    <t>디퓨져</t>
    <phoneticPr fontId="2" type="noConversion"/>
  </si>
  <si>
    <t>덕트공</t>
    <phoneticPr fontId="2" type="noConversion"/>
  </si>
  <si>
    <t>덕트공</t>
    <phoneticPr fontId="2" type="noConversion"/>
  </si>
  <si>
    <t>인</t>
    <phoneticPr fontId="2" type="noConversion"/>
  </si>
  <si>
    <t>디퓨져설치</t>
    <phoneticPr fontId="2" type="noConversion"/>
  </si>
  <si>
    <t>디퓨져설치</t>
    <phoneticPr fontId="2" type="noConversion"/>
  </si>
  <si>
    <t>=4</t>
    <phoneticPr fontId="2" type="noConversion"/>
  </si>
  <si>
    <t>=(41.16+(23*0.6)</t>
    <phoneticPr fontId="2" type="noConversion"/>
  </si>
  <si>
    <t>혼합건설폐기물</t>
  </si>
  <si>
    <t>그 밖의 건설폐기물에 가연성 5% 이하 혼합</t>
  </si>
  <si>
    <t>TON</t>
  </si>
  <si>
    <t>건설폐기물운반비 - 상차 포함</t>
  </si>
  <si>
    <t>15톤덤프트럭 - 30km</t>
  </si>
  <si>
    <t>폐기물처리</t>
    <phoneticPr fontId="2" type="noConversion"/>
  </si>
  <si>
    <t>건설폐기물 -중간처리</t>
  </si>
  <si>
    <t>건설폐기물상차·운반비</t>
  </si>
  <si>
    <t>15톤덤프, 30km</t>
  </si>
  <si>
    <t>SST'L PLATE</t>
    <phoneticPr fontId="2" type="noConversion"/>
  </si>
  <si>
    <t>=(7.55+6.51+7.55+0.88+0.62)*2.5-(1*2.1*1)-(0.5*0.9*4)</t>
    <phoneticPr fontId="2" type="noConversion"/>
  </si>
  <si>
    <t>=(7.65+7.65+9.66+5.34+4.45+0.62+0.88)*2.5-(1*2.1*3)-(0.5*0.9*8)</t>
    <phoneticPr fontId="2" type="noConversion"/>
  </si>
  <si>
    <t>=(4+4+9+2+4)*2.5-(0.9*2.1*3)</t>
    <phoneticPr fontId="2" type="noConversion"/>
  </si>
  <si>
    <t>=(4+4+9+2+4)*2.5*2-(0.9*2.1*3*2)</t>
    <phoneticPr fontId="2" type="noConversion"/>
  </si>
  <si>
    <t>디퓨져</t>
    <phoneticPr fontId="2" type="noConversion"/>
  </si>
  <si>
    <t>250파이</t>
    <phoneticPr fontId="2" type="noConversion"/>
  </si>
  <si>
    <t>인터넷</t>
    <phoneticPr fontId="2" type="noConversion"/>
  </si>
  <si>
    <t>디퓨져 설치</t>
    <phoneticPr fontId="2" type="noConversion"/>
  </si>
  <si>
    <t>합  계   -  2</t>
    <phoneticPr fontId="2" type="noConversion"/>
  </si>
  <si>
    <t>(천단위 절사)</t>
    <phoneticPr fontId="2" type="noConversion"/>
  </si>
  <si>
    <t>1000*2100</t>
    <phoneticPr fontId="2" type="noConversion"/>
  </si>
  <si>
    <t>T:5MM</t>
    <phoneticPr fontId="2" type="noConversion"/>
  </si>
  <si>
    <t>450*450*3</t>
    <phoneticPr fontId="2" type="noConversion"/>
  </si>
  <si>
    <t>상653</t>
    <phoneticPr fontId="2" type="noConversion"/>
  </si>
  <si>
    <t>1-498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</si>
</sst>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176" formatCode="_-* #,##0.00_-;\-* #,##0.00_-;_-* &quot;-&quot;_-;_-@_-"/>
    <numFmt numFmtId="177" formatCode="#,##0_ "/>
    <numFmt numFmtId="178" formatCode="[DBNum4][$-412]General"/>
    <numFmt numFmtId="179" formatCode="#,##0.00_ "/>
    <numFmt numFmtId="180" formatCode="_-* #,##0.000000_-;\-* #,##0.000000_-;_-* &quot;-&quot;??_-;_-@_-"/>
    <numFmt numFmtId="181" formatCode="_-* #,##0.0000000_-;\-* #,##0.0000000_-;_-* &quot;-&quot;??_-;_-@_-"/>
    <numFmt numFmtId="182" formatCode="0.0000%"/>
    <numFmt numFmtId="183" formatCode="0.000%"/>
    <numFmt numFmtId="184" formatCode="0.000_);[Red]\(0.000\)"/>
    <numFmt numFmtId="185" formatCode="#,##0.0"/>
    <numFmt numFmtId="186" formatCode="#,##0.00;\-#,##0.00;#"/>
    <numFmt numFmtId="187" formatCode="0.00_);[Red]\(0.00\)"/>
    <numFmt numFmtId="188" formatCode="_-* #,##0.0_-;\-* #,##0.0_-;_-* &quot;-&quot;_-;_-@_-"/>
  </numFmts>
  <fonts count="4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체"/>
      <family val="3"/>
      <charset val="129"/>
    </font>
    <font>
      <sz val="11"/>
      <color theme="1"/>
      <name val="돋움체"/>
      <family val="3"/>
      <charset val="129"/>
    </font>
    <font>
      <b/>
      <u/>
      <sz val="36"/>
      <name val="굴림"/>
      <family val="3"/>
      <charset val="129"/>
    </font>
    <font>
      <sz val="8"/>
      <name val="맑은 고딕"/>
      <family val="3"/>
      <charset val="129"/>
    </font>
    <font>
      <b/>
      <sz val="14"/>
      <name val="돋움체"/>
      <family val="3"/>
      <charset val="129"/>
    </font>
    <font>
      <sz val="8"/>
      <name val="돋움"/>
      <family val="3"/>
      <charset val="129"/>
    </font>
    <font>
      <sz val="8"/>
      <name val="08서울남산체 B"/>
      <family val="1"/>
      <charset val="129"/>
    </font>
    <font>
      <b/>
      <sz val="10"/>
      <name val="맑은 고딕"/>
      <family val="3"/>
      <charset val="129"/>
      <scheme val="major"/>
    </font>
    <font>
      <b/>
      <sz val="14"/>
      <name val="바탕"/>
      <family val="1"/>
      <charset val="129"/>
    </font>
    <font>
      <sz val="9"/>
      <color indexed="8"/>
      <name val="Arial"/>
      <family val="2"/>
    </font>
    <font>
      <b/>
      <sz val="14"/>
      <color indexed="8"/>
      <name val="바탕"/>
      <family val="1"/>
      <charset val="129"/>
    </font>
    <font>
      <sz val="11"/>
      <name val="바탕"/>
      <family val="1"/>
      <charset val="129"/>
    </font>
    <font>
      <sz val="11"/>
      <name val="굴림체"/>
      <family val="3"/>
      <charset val="129"/>
    </font>
    <font>
      <sz val="11"/>
      <color indexed="8"/>
      <name val="바탕"/>
      <family val="1"/>
      <charset val="129"/>
    </font>
    <font>
      <sz val="12"/>
      <name val="바탕체"/>
      <family val="1"/>
      <charset val="129"/>
    </font>
    <font>
      <b/>
      <sz val="20"/>
      <name val="바탕체"/>
      <family val="1"/>
      <charset val="129"/>
    </font>
    <font>
      <sz val="11"/>
      <name val="바탕체"/>
      <family val="1"/>
      <charset val="129"/>
    </font>
    <font>
      <b/>
      <sz val="12"/>
      <name val="바탕체"/>
      <family val="1"/>
      <charset val="129"/>
    </font>
    <font>
      <sz val="14"/>
      <name val="바탕체"/>
      <family val="1"/>
      <charset val="129"/>
    </font>
    <font>
      <b/>
      <sz val="14"/>
      <name val="바탕체"/>
      <family val="1"/>
      <charset val="129"/>
    </font>
    <font>
      <b/>
      <sz val="11"/>
      <name val="바탕체"/>
      <family val="1"/>
      <charset val="129"/>
    </font>
    <font>
      <sz val="12"/>
      <color theme="1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color theme="1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8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16" fillId="0" borderId="0"/>
    <xf numFmtId="0" fontId="19" fillId="0" borderId="0"/>
    <xf numFmtId="0" fontId="21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6" fillId="0" borderId="0"/>
  </cellStyleXfs>
  <cellXfs count="396">
    <xf numFmtId="0" fontId="0" fillId="0" borderId="0" xfId="0">
      <alignment vertical="center"/>
    </xf>
    <xf numFmtId="41" fontId="4" fillId="3" borderId="5" xfId="0" applyNumberFormat="1" applyFont="1" applyFill="1" applyBorder="1">
      <alignment vertical="center"/>
    </xf>
    <xf numFmtId="41" fontId="4" fillId="0" borderId="0" xfId="0" applyNumberFormat="1" applyFont="1">
      <alignment vertical="center"/>
    </xf>
    <xf numFmtId="41" fontId="4" fillId="0" borderId="3" xfId="0" applyNumberFormat="1" applyFont="1" applyBorder="1" applyAlignment="1">
      <alignment horizontal="center" vertical="center"/>
    </xf>
    <xf numFmtId="41" fontId="5" fillId="0" borderId="3" xfId="0" applyNumberFormat="1" applyFont="1" applyBorder="1">
      <alignment vertical="center"/>
    </xf>
    <xf numFmtId="41" fontId="4" fillId="0" borderId="3" xfId="0" applyNumberFormat="1" applyFont="1" applyBorder="1">
      <alignment vertical="center"/>
    </xf>
    <xf numFmtId="41" fontId="5" fillId="0" borderId="5" xfId="0" applyNumberFormat="1" applyFont="1" applyBorder="1">
      <alignment vertical="center"/>
    </xf>
    <xf numFmtId="41" fontId="4" fillId="0" borderId="5" xfId="0" applyNumberFormat="1" applyFont="1" applyBorder="1">
      <alignment vertical="center"/>
    </xf>
    <xf numFmtId="41" fontId="4" fillId="0" borderId="5" xfId="0" applyNumberFormat="1" applyFont="1" applyBorder="1" applyAlignment="1">
      <alignment horizontal="center" vertical="center"/>
    </xf>
    <xf numFmtId="41" fontId="4" fillId="3" borderId="5" xfId="0" applyNumberFormat="1" applyFont="1" applyFill="1" applyBorder="1" applyAlignment="1">
      <alignment horizontal="center" vertical="center"/>
    </xf>
    <xf numFmtId="41" fontId="4" fillId="4" borderId="5" xfId="0" applyNumberFormat="1" applyFont="1" applyFill="1" applyBorder="1">
      <alignment vertical="center"/>
    </xf>
    <xf numFmtId="41" fontId="4" fillId="4" borderId="5" xfId="0" applyNumberFormat="1" applyFont="1" applyFill="1" applyBorder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6" fontId="4" fillId="3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41" fontId="4" fillId="0" borderId="5" xfId="0" applyNumberFormat="1" applyFont="1" applyFill="1" applyBorder="1" applyAlignment="1">
      <alignment horizontal="center" vertical="center"/>
    </xf>
    <xf numFmtId="41" fontId="4" fillId="0" borderId="5" xfId="0" applyNumberFormat="1" applyFont="1" applyFill="1" applyBorder="1">
      <alignment vertical="center"/>
    </xf>
    <xf numFmtId="41" fontId="4" fillId="0" borderId="0" xfId="0" applyNumberFormat="1" applyFont="1" applyFill="1">
      <alignment vertical="center"/>
    </xf>
    <xf numFmtId="177" fontId="7" fillId="5" borderId="20" xfId="2" applyNumberFormat="1" applyFont="1" applyFill="1" applyBorder="1" applyAlignment="1">
      <alignment vertical="center"/>
    </xf>
    <xf numFmtId="177" fontId="7" fillId="5" borderId="21" xfId="2" applyNumberFormat="1" applyFont="1" applyFill="1" applyBorder="1" applyAlignment="1">
      <alignment horizontal="center" vertical="center"/>
    </xf>
    <xf numFmtId="177" fontId="7" fillId="5" borderId="21" xfId="2" applyNumberFormat="1" applyFont="1" applyFill="1" applyBorder="1" applyAlignment="1">
      <alignment vertical="center"/>
    </xf>
    <xf numFmtId="177" fontId="7" fillId="5" borderId="22" xfId="2" applyNumberFormat="1" applyFont="1" applyFill="1" applyBorder="1" applyAlignment="1">
      <alignment vertical="center"/>
    </xf>
    <xf numFmtId="0" fontId="8" fillId="0" borderId="0" xfId="2" applyFont="1" applyAlignment="1"/>
    <xf numFmtId="0" fontId="6" fillId="0" borderId="0" xfId="2" applyAlignment="1"/>
    <xf numFmtId="177" fontId="7" fillId="5" borderId="23" xfId="2" applyNumberFormat="1" applyFont="1" applyFill="1" applyBorder="1" applyAlignment="1">
      <alignment vertical="center"/>
    </xf>
    <xf numFmtId="177" fontId="7" fillId="5" borderId="0" xfId="2" applyNumberFormat="1" applyFont="1" applyFill="1" applyBorder="1" applyAlignment="1">
      <alignment horizontal="center" vertical="center"/>
    </xf>
    <xf numFmtId="177" fontId="7" fillId="5" borderId="0" xfId="2" applyNumberFormat="1" applyFont="1" applyFill="1" applyBorder="1" applyAlignment="1">
      <alignment vertical="center"/>
    </xf>
    <xf numFmtId="177" fontId="7" fillId="5" borderId="24" xfId="2" applyNumberFormat="1" applyFont="1" applyFill="1" applyBorder="1" applyAlignment="1">
      <alignment vertical="center"/>
    </xf>
    <xf numFmtId="177" fontId="13" fillId="5" borderId="23" xfId="2" applyNumberFormat="1" applyFont="1" applyFill="1" applyBorder="1" applyAlignment="1">
      <alignment vertical="center"/>
    </xf>
    <xf numFmtId="177" fontId="14" fillId="5" borderId="25" xfId="2" applyNumberFormat="1" applyFont="1" applyFill="1" applyBorder="1" applyAlignment="1">
      <alignment vertical="center"/>
    </xf>
    <xf numFmtId="177" fontId="14" fillId="5" borderId="12" xfId="2" applyNumberFormat="1" applyFont="1" applyFill="1" applyBorder="1" applyAlignment="1">
      <alignment vertical="center"/>
    </xf>
    <xf numFmtId="177" fontId="14" fillId="5" borderId="26" xfId="2" applyNumberFormat="1" applyFont="1" applyFill="1" applyBorder="1" applyAlignment="1">
      <alignment vertical="center"/>
    </xf>
    <xf numFmtId="177" fontId="14" fillId="5" borderId="12" xfId="2" applyNumberFormat="1" applyFont="1" applyFill="1" applyBorder="1" applyAlignment="1">
      <alignment horizontal="center" vertical="center"/>
    </xf>
    <xf numFmtId="177" fontId="14" fillId="5" borderId="12" xfId="2" applyNumberFormat="1" applyFont="1" applyFill="1" applyBorder="1" applyAlignment="1">
      <alignment horizontal="left" vertical="center"/>
    </xf>
    <xf numFmtId="177" fontId="14" fillId="5" borderId="12" xfId="2" applyNumberFormat="1" applyFont="1" applyFill="1" applyBorder="1" applyAlignment="1">
      <alignment horizontal="right" vertical="center"/>
    </xf>
    <xf numFmtId="177" fontId="14" fillId="5" borderId="27" xfId="2" applyNumberFormat="1" applyFont="1" applyFill="1" applyBorder="1" applyAlignment="1">
      <alignment horizontal="center" vertical="center"/>
    </xf>
    <xf numFmtId="177" fontId="13" fillId="5" borderId="24" xfId="2" applyNumberFormat="1" applyFont="1" applyFill="1" applyBorder="1" applyAlignment="1">
      <alignment vertical="center"/>
    </xf>
    <xf numFmtId="177" fontId="14" fillId="5" borderId="28" xfId="2" applyNumberFormat="1" applyFont="1" applyFill="1" applyBorder="1" applyAlignment="1">
      <alignment vertical="center"/>
    </xf>
    <xf numFmtId="177" fontId="14" fillId="5" borderId="11" xfId="2" applyNumberFormat="1" applyFont="1" applyFill="1" applyBorder="1" applyAlignment="1">
      <alignment vertical="center"/>
    </xf>
    <xf numFmtId="177" fontId="14" fillId="5" borderId="14" xfId="2" applyNumberFormat="1" applyFont="1" applyFill="1" applyBorder="1" applyAlignment="1">
      <alignment vertical="center"/>
    </xf>
    <xf numFmtId="177" fontId="14" fillId="5" borderId="11" xfId="2" applyNumberFormat="1" applyFont="1" applyFill="1" applyBorder="1" applyAlignment="1">
      <alignment horizontal="center" vertical="center"/>
    </xf>
    <xf numFmtId="178" fontId="14" fillId="5" borderId="11" xfId="2" applyNumberFormat="1" applyFont="1" applyFill="1" applyBorder="1" applyAlignment="1">
      <alignment horizontal="left" vertical="center"/>
    </xf>
    <xf numFmtId="177" fontId="14" fillId="5" borderId="11" xfId="2" applyNumberFormat="1" applyFont="1" applyFill="1" applyBorder="1" applyAlignment="1">
      <alignment horizontal="left" vertical="center"/>
    </xf>
    <xf numFmtId="177" fontId="14" fillId="5" borderId="11" xfId="2" applyNumberFormat="1" applyFont="1" applyFill="1" applyBorder="1" applyAlignment="1">
      <alignment horizontal="right" vertical="center"/>
    </xf>
    <xf numFmtId="177" fontId="14" fillId="5" borderId="6" xfId="2" applyNumberFormat="1" applyFont="1" applyFill="1" applyBorder="1" applyAlignment="1">
      <alignment vertical="center"/>
    </xf>
    <xf numFmtId="177" fontId="14" fillId="5" borderId="29" xfId="2" applyNumberFormat="1" applyFont="1" applyFill="1" applyBorder="1" applyAlignment="1">
      <alignment horizontal="center" vertical="center"/>
    </xf>
    <xf numFmtId="177" fontId="14" fillId="5" borderId="30" xfId="2" applyNumberFormat="1" applyFont="1" applyFill="1" applyBorder="1" applyAlignment="1">
      <alignment vertical="center"/>
    </xf>
    <xf numFmtId="177" fontId="14" fillId="5" borderId="31" xfId="2" applyNumberFormat="1" applyFont="1" applyFill="1" applyBorder="1" applyAlignment="1">
      <alignment vertical="center"/>
    </xf>
    <xf numFmtId="177" fontId="14" fillId="5" borderId="32" xfId="2" applyNumberFormat="1" applyFont="1" applyFill="1" applyBorder="1" applyAlignment="1">
      <alignment horizontal="right" vertical="center"/>
    </xf>
    <xf numFmtId="177" fontId="14" fillId="5" borderId="32" xfId="2" applyNumberFormat="1" applyFont="1" applyFill="1" applyBorder="1" applyAlignment="1">
      <alignment vertical="center"/>
    </xf>
    <xf numFmtId="177" fontId="14" fillId="5" borderId="32" xfId="2" applyNumberFormat="1" applyFont="1" applyFill="1" applyBorder="1" applyAlignment="1">
      <alignment horizontal="left" vertical="center"/>
    </xf>
    <xf numFmtId="179" fontId="14" fillId="5" borderId="33" xfId="2" applyNumberFormat="1" applyFont="1" applyFill="1" applyBorder="1" applyAlignment="1">
      <alignment vertical="center"/>
    </xf>
    <xf numFmtId="177" fontId="14" fillId="5" borderId="35" xfId="2" applyNumberFormat="1" applyFont="1" applyFill="1" applyBorder="1" applyAlignment="1">
      <alignment horizontal="center" vertical="center"/>
    </xf>
    <xf numFmtId="177" fontId="14" fillId="5" borderId="35" xfId="2" applyNumberFormat="1" applyFont="1" applyFill="1" applyBorder="1" applyAlignment="1">
      <alignment horizontal="right" vertical="center"/>
    </xf>
    <xf numFmtId="177" fontId="14" fillId="5" borderId="35" xfId="2" applyNumberFormat="1" applyFont="1" applyFill="1" applyBorder="1" applyAlignment="1">
      <alignment vertical="center"/>
    </xf>
    <xf numFmtId="177" fontId="14" fillId="5" borderId="35" xfId="2" applyNumberFormat="1" applyFont="1" applyFill="1" applyBorder="1" applyAlignment="1">
      <alignment horizontal="left" vertical="center"/>
    </xf>
    <xf numFmtId="177" fontId="14" fillId="5" borderId="36" xfId="2" applyNumberFormat="1" applyFont="1" applyFill="1" applyBorder="1" applyAlignment="1">
      <alignment vertical="center"/>
    </xf>
    <xf numFmtId="177" fontId="14" fillId="5" borderId="37" xfId="2" applyNumberFormat="1" applyFont="1" applyFill="1" applyBorder="1" applyAlignment="1">
      <alignment vertical="center"/>
    </xf>
    <xf numFmtId="0" fontId="6" fillId="0" borderId="23" xfId="2" applyBorder="1">
      <alignment vertical="center"/>
    </xf>
    <xf numFmtId="0" fontId="6" fillId="0" borderId="0" xfId="2" applyBorder="1">
      <alignment vertical="center"/>
    </xf>
    <xf numFmtId="0" fontId="6" fillId="0" borderId="24" xfId="2" applyBorder="1">
      <alignment vertical="center"/>
    </xf>
    <xf numFmtId="0" fontId="6" fillId="0" borderId="0" xfId="2">
      <alignment vertical="center"/>
    </xf>
    <xf numFmtId="0" fontId="18" fillId="0" borderId="0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6" fillId="0" borderId="40" xfId="2" applyBorder="1">
      <alignment vertical="center"/>
    </xf>
    <xf numFmtId="0" fontId="6" fillId="0" borderId="41" xfId="2" applyBorder="1">
      <alignment vertical="center"/>
    </xf>
    <xf numFmtId="0" fontId="6" fillId="0" borderId="42" xfId="2" applyBorder="1">
      <alignment vertical="center"/>
    </xf>
    <xf numFmtId="0" fontId="22" fillId="0" borderId="0" xfId="6" applyFont="1" applyFill="1" applyBorder="1" applyAlignment="1">
      <alignment horizontal="centerContinuous" vertical="center"/>
    </xf>
    <xf numFmtId="0" fontId="23" fillId="0" borderId="0" xfId="6" applyFont="1" applyFill="1" applyAlignment="1">
      <alignment horizontal="centerContinuous" vertical="center"/>
    </xf>
    <xf numFmtId="3" fontId="23" fillId="0" borderId="0" xfId="6" applyNumberFormat="1" applyFont="1" applyFill="1" applyAlignment="1">
      <alignment horizontal="centerContinuous" vertical="center"/>
    </xf>
    <xf numFmtId="0" fontId="23" fillId="0" borderId="0" xfId="6" applyFont="1" applyFill="1" applyAlignment="1">
      <alignment vertical="center"/>
    </xf>
    <xf numFmtId="0" fontId="24" fillId="0" borderId="0" xfId="6" quotePrefix="1" applyFont="1" applyFill="1" applyBorder="1" applyAlignment="1">
      <alignment horizontal="left" vertical="center"/>
    </xf>
    <xf numFmtId="0" fontId="25" fillId="0" borderId="0" xfId="6" applyFont="1" applyFill="1" applyAlignment="1">
      <alignment horizontal="centerContinuous" vertical="center"/>
    </xf>
    <xf numFmtId="0" fontId="26" fillId="0" borderId="0" xfId="6" applyFont="1" applyFill="1" applyAlignment="1">
      <alignment horizontal="right" vertical="center"/>
    </xf>
    <xf numFmtId="0" fontId="27" fillId="0" borderId="0" xfId="6" applyFont="1" applyFill="1" applyAlignment="1">
      <alignment horizontal="right" vertical="center"/>
    </xf>
    <xf numFmtId="0" fontId="25" fillId="0" borderId="0" xfId="6" applyFont="1" applyFill="1" applyAlignment="1">
      <alignment vertical="center"/>
    </xf>
    <xf numFmtId="0" fontId="24" fillId="0" borderId="43" xfId="6" applyFont="1" applyFill="1" applyBorder="1" applyAlignment="1">
      <alignment horizontal="centerContinuous" vertical="center"/>
    </xf>
    <xf numFmtId="0" fontId="24" fillId="0" borderId="44" xfId="6" applyFont="1" applyFill="1" applyBorder="1" applyAlignment="1">
      <alignment horizontal="centerContinuous" vertical="center"/>
    </xf>
    <xf numFmtId="0" fontId="24" fillId="0" borderId="45" xfId="6" applyFont="1" applyFill="1" applyBorder="1" applyAlignment="1">
      <alignment horizontal="centerContinuous" vertical="center"/>
    </xf>
    <xf numFmtId="3" fontId="24" fillId="0" borderId="46" xfId="6" applyNumberFormat="1" applyFont="1" applyFill="1" applyBorder="1" applyAlignment="1">
      <alignment horizontal="center" vertical="center"/>
    </xf>
    <xf numFmtId="0" fontId="24" fillId="0" borderId="49" xfId="6" applyFont="1" applyFill="1" applyBorder="1" applyAlignment="1">
      <alignment horizontal="centerContinuous" vertical="center"/>
    </xf>
    <xf numFmtId="0" fontId="21" fillId="0" borderId="0" xfId="6" applyFont="1" applyFill="1" applyBorder="1" applyAlignment="1">
      <alignment vertical="center"/>
    </xf>
    <xf numFmtId="0" fontId="21" fillId="0" borderId="50" xfId="6" applyFont="1" applyFill="1" applyBorder="1" applyAlignment="1">
      <alignment horizontal="center" vertical="center"/>
    </xf>
    <xf numFmtId="0" fontId="21" fillId="0" borderId="51" xfId="6" applyFont="1" applyFill="1" applyBorder="1" applyAlignment="1">
      <alignment horizontal="centerContinuous" vertical="center"/>
    </xf>
    <xf numFmtId="0" fontId="21" fillId="0" borderId="25" xfId="6" applyFont="1" applyFill="1" applyBorder="1" applyAlignment="1">
      <alignment horizontal="distributed" vertical="center"/>
    </xf>
    <xf numFmtId="41" fontId="21" fillId="0" borderId="52" xfId="7" applyFont="1" applyFill="1" applyBorder="1" applyAlignment="1">
      <alignment vertical="center"/>
    </xf>
    <xf numFmtId="41" fontId="21" fillId="0" borderId="53" xfId="8" applyFont="1" applyFill="1" applyBorder="1" applyAlignment="1">
      <alignment horizontal="right" vertical="center"/>
    </xf>
    <xf numFmtId="0" fontId="21" fillId="0" borderId="54" xfId="6" applyFont="1" applyFill="1" applyBorder="1" applyAlignment="1">
      <alignment vertical="center"/>
    </xf>
    <xf numFmtId="0" fontId="21" fillId="0" borderId="0" xfId="6" applyFont="1" applyFill="1" applyAlignment="1">
      <alignment vertical="center"/>
    </xf>
    <xf numFmtId="0" fontId="21" fillId="0" borderId="28" xfId="6" applyFont="1" applyFill="1" applyBorder="1" applyAlignment="1">
      <alignment horizontal="distributed" vertical="center"/>
    </xf>
    <xf numFmtId="41" fontId="21" fillId="0" borderId="56" xfId="7" applyFont="1" applyFill="1" applyBorder="1" applyAlignment="1">
      <alignment vertical="center"/>
    </xf>
    <xf numFmtId="41" fontId="21" fillId="0" borderId="28" xfId="8" applyFont="1" applyFill="1" applyBorder="1" applyAlignment="1">
      <alignment horizontal="right" vertical="center"/>
    </xf>
    <xf numFmtId="0" fontId="21" fillId="0" borderId="9" xfId="6" applyFont="1" applyFill="1" applyBorder="1" applyAlignment="1">
      <alignment vertical="center"/>
    </xf>
    <xf numFmtId="0" fontId="21" fillId="0" borderId="57" xfId="6" applyFont="1" applyFill="1" applyBorder="1" applyAlignment="1">
      <alignment vertical="center"/>
    </xf>
    <xf numFmtId="0" fontId="21" fillId="0" borderId="19" xfId="6" applyFont="1" applyFill="1" applyBorder="1" applyAlignment="1">
      <alignment horizontal="centerContinuous" vertical="center"/>
    </xf>
    <xf numFmtId="0" fontId="21" fillId="0" borderId="34" xfId="6" applyFont="1" applyFill="1" applyBorder="1" applyAlignment="1">
      <alignment horizontal="center" vertical="center"/>
    </xf>
    <xf numFmtId="41" fontId="21" fillId="0" borderId="17" xfId="7" applyFont="1" applyFill="1" applyBorder="1" applyAlignment="1">
      <alignment vertical="center"/>
    </xf>
    <xf numFmtId="41" fontId="21" fillId="0" borderId="34" xfId="8" applyFont="1" applyFill="1" applyBorder="1" applyAlignment="1">
      <alignment horizontal="right" vertical="center"/>
    </xf>
    <xf numFmtId="0" fontId="21" fillId="0" borderId="10" xfId="6" applyFont="1" applyFill="1" applyBorder="1" applyAlignment="1">
      <alignment vertical="center"/>
    </xf>
    <xf numFmtId="0" fontId="21" fillId="0" borderId="58" xfId="6" applyFont="1" applyFill="1" applyBorder="1" applyAlignment="1">
      <alignment vertical="center"/>
    </xf>
    <xf numFmtId="0" fontId="21" fillId="0" borderId="18" xfId="6" applyFont="1" applyFill="1" applyBorder="1" applyAlignment="1">
      <alignment horizontal="center" vertical="center"/>
    </xf>
    <xf numFmtId="41" fontId="21" fillId="0" borderId="16" xfId="7" applyFont="1" applyFill="1" applyBorder="1" applyAlignment="1">
      <alignment vertical="center"/>
    </xf>
    <xf numFmtId="41" fontId="21" fillId="0" borderId="25" xfId="8" applyFont="1" applyFill="1" applyBorder="1" applyAlignment="1">
      <alignment horizontal="right" vertical="center"/>
    </xf>
    <xf numFmtId="0" fontId="21" fillId="0" borderId="13" xfId="6" applyFont="1" applyFill="1" applyBorder="1" applyAlignment="1">
      <alignment vertical="center"/>
    </xf>
    <xf numFmtId="0" fontId="21" fillId="0" borderId="59" xfId="6" applyFont="1" applyFill="1" applyBorder="1" applyAlignment="1">
      <alignment vertical="center"/>
    </xf>
    <xf numFmtId="3" fontId="21" fillId="0" borderId="0" xfId="6" applyNumberFormat="1" applyFont="1" applyFill="1" applyAlignment="1">
      <alignment vertical="center"/>
    </xf>
    <xf numFmtId="0" fontId="21" fillId="0" borderId="51" xfId="6" applyFont="1" applyFill="1" applyBorder="1" applyAlignment="1">
      <alignment horizontal="center" vertical="center"/>
    </xf>
    <xf numFmtId="10" fontId="21" fillId="0" borderId="9" xfId="6" quotePrefix="1" applyNumberFormat="1" applyFont="1" applyFill="1" applyBorder="1" applyAlignment="1">
      <alignment horizontal="left" vertical="center"/>
    </xf>
    <xf numFmtId="0" fontId="21" fillId="0" borderId="57" xfId="6" applyFont="1" applyFill="1" applyBorder="1" applyAlignment="1">
      <alignment horizontal="left" vertical="center"/>
    </xf>
    <xf numFmtId="180" fontId="21" fillId="0" borderId="0" xfId="6" applyNumberFormat="1" applyFont="1" applyFill="1" applyAlignment="1">
      <alignment vertical="center"/>
    </xf>
    <xf numFmtId="0" fontId="21" fillId="0" borderId="19" xfId="6" applyFont="1" applyFill="1" applyBorder="1" applyAlignment="1">
      <alignment horizontal="center" vertical="center"/>
    </xf>
    <xf numFmtId="0" fontId="21" fillId="0" borderId="10" xfId="6" applyFont="1" applyFill="1" applyBorder="1" applyAlignment="1">
      <alignment horizontal="left" vertical="center"/>
    </xf>
    <xf numFmtId="3" fontId="21" fillId="0" borderId="0" xfId="6" applyNumberFormat="1" applyFont="1" applyFill="1" applyBorder="1" applyAlignment="1">
      <alignment vertical="center"/>
    </xf>
    <xf numFmtId="181" fontId="21" fillId="0" borderId="0" xfId="6" applyNumberFormat="1" applyFont="1" applyFill="1" applyAlignment="1">
      <alignment vertical="center"/>
    </xf>
    <xf numFmtId="0" fontId="21" fillId="0" borderId="53" xfId="6" applyFont="1" applyFill="1" applyBorder="1" applyAlignment="1">
      <alignment horizontal="distributed" vertical="center"/>
    </xf>
    <xf numFmtId="0" fontId="21" fillId="0" borderId="54" xfId="6" applyFont="1" applyFill="1" applyBorder="1" applyAlignment="1">
      <alignment horizontal="left" vertical="center"/>
    </xf>
    <xf numFmtId="0" fontId="21" fillId="0" borderId="55" xfId="6" applyFont="1" applyFill="1" applyBorder="1" applyAlignment="1">
      <alignment vertical="center"/>
    </xf>
    <xf numFmtId="0" fontId="21" fillId="0" borderId="9" xfId="6" applyFont="1" applyFill="1" applyBorder="1" applyAlignment="1">
      <alignment horizontal="left" vertical="center"/>
    </xf>
    <xf numFmtId="41" fontId="21" fillId="0" borderId="0" xfId="8" applyFont="1" applyFill="1" applyBorder="1" applyAlignment="1">
      <alignment vertical="center"/>
    </xf>
    <xf numFmtId="0" fontId="24" fillId="0" borderId="0" xfId="6" applyFont="1" applyFill="1" applyAlignment="1">
      <alignment vertical="center"/>
    </xf>
    <xf numFmtId="0" fontId="21" fillId="0" borderId="57" xfId="6" quotePrefix="1" applyFont="1" applyFill="1" applyBorder="1" applyAlignment="1">
      <alignment horizontal="left" vertical="center"/>
    </xf>
    <xf numFmtId="41" fontId="21" fillId="0" borderId="0" xfId="8" applyFont="1" applyFill="1" applyAlignment="1">
      <alignment vertical="center"/>
    </xf>
    <xf numFmtId="0" fontId="21" fillId="0" borderId="28" xfId="6" quotePrefix="1" applyFont="1" applyFill="1" applyBorder="1" applyAlignment="1">
      <alignment horizontal="distributed" vertical="center"/>
    </xf>
    <xf numFmtId="0" fontId="21" fillId="0" borderId="9" xfId="6" quotePrefix="1" applyFont="1" applyFill="1" applyBorder="1" applyAlignment="1">
      <alignment horizontal="left" vertical="center"/>
    </xf>
    <xf numFmtId="0" fontId="21" fillId="0" borderId="51" xfId="6" applyFont="1" applyFill="1" applyBorder="1" applyAlignment="1">
      <alignment vertical="center"/>
    </xf>
    <xf numFmtId="41" fontId="28" fillId="0" borderId="56" xfId="7" applyFont="1" applyFill="1" applyBorder="1" applyAlignment="1">
      <alignment vertical="center"/>
    </xf>
    <xf numFmtId="10" fontId="28" fillId="0" borderId="9" xfId="10" applyNumberFormat="1" applyFont="1" applyFill="1" applyBorder="1" applyAlignment="1">
      <alignment horizontal="left" vertical="center"/>
    </xf>
    <xf numFmtId="176" fontId="28" fillId="0" borderId="57" xfId="9" applyNumberFormat="1" applyFont="1" applyFill="1" applyBorder="1" applyAlignment="1">
      <alignment horizontal="left" vertical="center"/>
    </xf>
    <xf numFmtId="182" fontId="21" fillId="0" borderId="0" xfId="6" applyNumberFormat="1" applyFont="1" applyFill="1" applyAlignment="1">
      <alignment vertical="center"/>
    </xf>
    <xf numFmtId="176" fontId="21" fillId="0" borderId="57" xfId="9" applyNumberFormat="1" applyFont="1" applyFill="1" applyBorder="1" applyAlignment="1">
      <alignment horizontal="left" vertical="center"/>
    </xf>
    <xf numFmtId="10" fontId="21" fillId="0" borderId="9" xfId="10" applyNumberFormat="1" applyFont="1" applyFill="1" applyBorder="1" applyAlignment="1">
      <alignment horizontal="left" vertical="center"/>
    </xf>
    <xf numFmtId="10" fontId="21" fillId="0" borderId="0" xfId="6" applyNumberFormat="1" applyFont="1" applyFill="1" applyAlignment="1">
      <alignment vertical="center"/>
    </xf>
    <xf numFmtId="176" fontId="21" fillId="0" borderId="9" xfId="9" applyNumberFormat="1" applyFont="1" applyFill="1" applyBorder="1" applyAlignment="1">
      <alignment horizontal="left" vertical="center"/>
    </xf>
    <xf numFmtId="0" fontId="21" fillId="0" borderId="60" xfId="6" applyFont="1" applyFill="1" applyBorder="1" applyAlignment="1">
      <alignment horizontal="center" vertical="center"/>
    </xf>
    <xf numFmtId="41" fontId="21" fillId="0" borderId="61" xfId="7" applyFont="1" applyFill="1" applyBorder="1" applyAlignment="1">
      <alignment vertical="center"/>
    </xf>
    <xf numFmtId="0" fontId="21" fillId="0" borderId="62" xfId="6" applyFont="1" applyFill="1" applyBorder="1" applyAlignment="1">
      <alignment horizontal="left" vertical="center"/>
    </xf>
    <xf numFmtId="0" fontId="21" fillId="0" borderId="63" xfId="6" applyFont="1" applyFill="1" applyBorder="1" applyAlignment="1">
      <alignment vertical="center"/>
    </xf>
    <xf numFmtId="0" fontId="21" fillId="0" borderId="64" xfId="6" applyFont="1" applyFill="1" applyBorder="1"/>
    <xf numFmtId="0" fontId="21" fillId="0" borderId="19" xfId="6" applyFont="1" applyFill="1" applyBorder="1" applyAlignment="1">
      <alignment vertical="center"/>
    </xf>
    <xf numFmtId="0" fontId="21" fillId="0" borderId="38" xfId="6" applyFont="1" applyFill="1" applyBorder="1" applyAlignment="1">
      <alignment horizontal="center" vertical="center"/>
    </xf>
    <xf numFmtId="41" fontId="21" fillId="0" borderId="1" xfId="7" applyFont="1" applyFill="1" applyBorder="1" applyAlignment="1">
      <alignment vertical="center"/>
    </xf>
    <xf numFmtId="0" fontId="21" fillId="0" borderId="39" xfId="6" applyFont="1" applyFill="1" applyBorder="1" applyAlignment="1">
      <alignment horizontal="left" vertical="center"/>
    </xf>
    <xf numFmtId="0" fontId="21" fillId="0" borderId="65" xfId="6" applyFont="1" applyFill="1" applyBorder="1" applyAlignment="1">
      <alignment vertical="center"/>
    </xf>
    <xf numFmtId="9" fontId="21" fillId="0" borderId="54" xfId="6" applyNumberFormat="1" applyFont="1" applyFill="1" applyBorder="1" applyAlignment="1">
      <alignment horizontal="left" vertical="center"/>
    </xf>
    <xf numFmtId="183" fontId="21" fillId="0" borderId="0" xfId="11" applyNumberFormat="1" applyFont="1" applyFill="1" applyAlignment="1">
      <alignment vertical="center"/>
    </xf>
    <xf numFmtId="9" fontId="21" fillId="0" borderId="9" xfId="6" quotePrefix="1" applyNumberFormat="1" applyFont="1" applyFill="1" applyBorder="1" applyAlignment="1">
      <alignment horizontal="left" vertical="center"/>
    </xf>
    <xf numFmtId="3" fontId="21" fillId="0" borderId="9" xfId="6" applyNumberFormat="1" applyFont="1" applyFill="1" applyBorder="1" applyAlignment="1">
      <alignment horizontal="left" vertical="center"/>
    </xf>
    <xf numFmtId="3" fontId="21" fillId="0" borderId="57" xfId="6" applyNumberFormat="1" applyFont="1" applyFill="1" applyBorder="1" applyAlignment="1">
      <alignment vertical="center"/>
    </xf>
    <xf numFmtId="41" fontId="24" fillId="0" borderId="56" xfId="7" applyFont="1" applyFill="1" applyBorder="1" applyAlignment="1">
      <alignment vertical="center"/>
    </xf>
    <xf numFmtId="41" fontId="24" fillId="0" borderId="28" xfId="8" applyFont="1" applyFill="1" applyBorder="1" applyAlignment="1">
      <alignment vertical="center"/>
    </xf>
    <xf numFmtId="41" fontId="21" fillId="0" borderId="60" xfId="8" applyFont="1" applyFill="1" applyBorder="1" applyAlignment="1">
      <alignment vertical="center"/>
    </xf>
    <xf numFmtId="0" fontId="21" fillId="0" borderId="62" xfId="6" applyFont="1" applyFill="1" applyBorder="1" applyAlignment="1">
      <alignment vertical="center"/>
    </xf>
    <xf numFmtId="41" fontId="24" fillId="0" borderId="71" xfId="7" applyFont="1" applyFill="1" applyBorder="1" applyAlignment="1">
      <alignment vertical="center"/>
    </xf>
    <xf numFmtId="41" fontId="24" fillId="0" borderId="72" xfId="6" applyNumberFormat="1" applyFont="1" applyFill="1" applyBorder="1" applyAlignment="1">
      <alignment vertical="center"/>
    </xf>
    <xf numFmtId="0" fontId="21" fillId="0" borderId="73" xfId="6" applyFont="1" applyFill="1" applyBorder="1" applyAlignment="1">
      <alignment vertical="center"/>
    </xf>
    <xf numFmtId="0" fontId="21" fillId="0" borderId="74" xfId="6" applyFont="1" applyFill="1" applyBorder="1" applyAlignment="1">
      <alignment vertical="center"/>
    </xf>
    <xf numFmtId="0" fontId="23" fillId="0" borderId="0" xfId="6" applyFont="1" applyFill="1" applyBorder="1" applyAlignment="1">
      <alignment vertical="center"/>
    </xf>
    <xf numFmtId="3" fontId="23" fillId="0" borderId="0" xfId="6" applyNumberFormat="1" applyFont="1" applyFill="1" applyAlignment="1">
      <alignment vertical="center"/>
    </xf>
    <xf numFmtId="0" fontId="23" fillId="0" borderId="75" xfId="6" applyFont="1" applyFill="1" applyBorder="1" applyAlignment="1">
      <alignment vertical="center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29" fillId="0" borderId="0" xfId="0" applyFont="1" applyAlignment="1">
      <alignment horizontal="center" vertical="center"/>
    </xf>
    <xf numFmtId="0" fontId="33" fillId="0" borderId="1" xfId="12" quotePrefix="1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19" fillId="0" borderId="1" xfId="12" quotePrefix="1" applyFont="1" applyFill="1" applyBorder="1" applyAlignment="1">
      <alignment vertical="center" wrapText="1"/>
    </xf>
    <xf numFmtId="0" fontId="3" fillId="0" borderId="1" xfId="12" quotePrefix="1" applyFont="1" applyFill="1" applyBorder="1" applyAlignment="1">
      <alignment vertical="center" wrapText="1"/>
    </xf>
    <xf numFmtId="0" fontId="3" fillId="4" borderId="1" xfId="12" applyFont="1" applyFill="1" applyBorder="1" applyAlignment="1">
      <alignment vertical="center" wrapText="1"/>
    </xf>
    <xf numFmtId="41" fontId="33" fillId="7" borderId="15" xfId="7" quotePrefix="1" applyFont="1" applyFill="1" applyBorder="1" applyAlignment="1">
      <alignment vertical="center"/>
    </xf>
    <xf numFmtId="41" fontId="33" fillId="7" borderId="15" xfId="7" quotePrefix="1" applyFont="1" applyFill="1" applyBorder="1" applyAlignment="1">
      <alignment horizontal="center" vertical="center"/>
    </xf>
    <xf numFmtId="41" fontId="33" fillId="7" borderId="39" xfId="7" quotePrefix="1" applyFont="1" applyFill="1" applyBorder="1" applyAlignment="1">
      <alignment vertical="center"/>
    </xf>
    <xf numFmtId="41" fontId="33" fillId="7" borderId="76" xfId="7" quotePrefix="1" applyFont="1" applyFill="1" applyBorder="1" applyAlignment="1">
      <alignment horizontal="center" vertical="center"/>
    </xf>
    <xf numFmtId="41" fontId="33" fillId="7" borderId="77" xfId="7" quotePrefix="1" applyFont="1" applyFill="1" applyBorder="1" applyAlignment="1">
      <alignment horizontal="center" vertical="center"/>
    </xf>
    <xf numFmtId="41" fontId="33" fillId="8" borderId="79" xfId="7" quotePrefix="1" applyFont="1" applyFill="1" applyBorder="1" applyAlignment="1">
      <alignment horizontal="center" vertical="center"/>
    </xf>
    <xf numFmtId="0" fontId="32" fillId="9" borderId="1" xfId="0" applyFont="1" applyFill="1" applyBorder="1" applyAlignment="1">
      <alignment horizontal="center" vertical="center"/>
    </xf>
    <xf numFmtId="41" fontId="29" fillId="0" borderId="0" xfId="0" applyNumberFormat="1" applyFont="1">
      <alignment vertical="center"/>
    </xf>
    <xf numFmtId="41" fontId="29" fillId="0" borderId="0" xfId="0" applyNumberFormat="1" applyFont="1" applyAlignment="1">
      <alignment horizontal="center" vertical="center"/>
    </xf>
    <xf numFmtId="41" fontId="31" fillId="0" borderId="0" xfId="0" applyNumberFormat="1" applyFont="1" applyAlignment="1">
      <alignment horizontal="center" vertical="center"/>
    </xf>
    <xf numFmtId="41" fontId="30" fillId="0" borderId="0" xfId="0" applyNumberFormat="1" applyFont="1">
      <alignment vertical="center"/>
    </xf>
    <xf numFmtId="41" fontId="30" fillId="0" borderId="1" xfId="0" quotePrefix="1" applyNumberFormat="1" applyFont="1" applyBorder="1">
      <alignment vertical="center"/>
    </xf>
    <xf numFmtId="41" fontId="30" fillId="0" borderId="1" xfId="0" applyNumberFormat="1" applyFont="1" applyBorder="1">
      <alignment vertical="center"/>
    </xf>
    <xf numFmtId="41" fontId="30" fillId="0" borderId="1" xfId="0" applyNumberFormat="1" applyFont="1" applyBorder="1" applyAlignment="1">
      <alignment horizontal="center" vertical="center"/>
    </xf>
    <xf numFmtId="41" fontId="32" fillId="10" borderId="1" xfId="0" applyNumberFormat="1" applyFont="1" applyFill="1" applyBorder="1" applyAlignment="1">
      <alignment horizontal="center" vertical="center"/>
    </xf>
    <xf numFmtId="0" fontId="30" fillId="0" borderId="2" xfId="0" applyFont="1" applyBorder="1">
      <alignment vertical="center"/>
    </xf>
    <xf numFmtId="0" fontId="30" fillId="0" borderId="3" xfId="0" applyFont="1" applyBorder="1">
      <alignment vertical="center"/>
    </xf>
    <xf numFmtId="0" fontId="30" fillId="0" borderId="27" xfId="0" applyFont="1" applyBorder="1">
      <alignment vertical="center"/>
    </xf>
    <xf numFmtId="0" fontId="30" fillId="0" borderId="4" xfId="0" quotePrefix="1" applyFont="1" applyBorder="1">
      <alignment vertical="center"/>
    </xf>
    <xf numFmtId="0" fontId="30" fillId="0" borderId="5" xfId="0" applyFont="1" applyBorder="1">
      <alignment vertical="center"/>
    </xf>
    <xf numFmtId="0" fontId="30" fillId="0" borderId="6" xfId="0" applyFont="1" applyBorder="1">
      <alignment vertical="center"/>
    </xf>
    <xf numFmtId="0" fontId="30" fillId="0" borderId="4" xfId="0" applyFont="1" applyBorder="1">
      <alignment vertical="center"/>
    </xf>
    <xf numFmtId="0" fontId="30" fillId="0" borderId="3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41" fontId="29" fillId="0" borderId="2" xfId="0" applyNumberFormat="1" applyFont="1" applyBorder="1">
      <alignment vertical="center"/>
    </xf>
    <xf numFmtId="41" fontId="29" fillId="0" borderId="3" xfId="0" applyNumberFormat="1" applyFont="1" applyBorder="1">
      <alignment vertical="center"/>
    </xf>
    <xf numFmtId="41" fontId="29" fillId="0" borderId="3" xfId="0" applyNumberFormat="1" applyFont="1" applyBorder="1" applyAlignment="1">
      <alignment horizontal="center" vertical="center"/>
    </xf>
    <xf numFmtId="41" fontId="29" fillId="0" borderId="27" xfId="0" applyNumberFormat="1" applyFont="1" applyBorder="1">
      <alignment vertical="center"/>
    </xf>
    <xf numFmtId="41" fontId="29" fillId="0" borderId="4" xfId="0" applyNumberFormat="1" applyFont="1" applyBorder="1">
      <alignment vertical="center"/>
    </xf>
    <xf numFmtId="41" fontId="29" fillId="0" borderId="5" xfId="0" applyNumberFormat="1" applyFont="1" applyBorder="1">
      <alignment vertical="center"/>
    </xf>
    <xf numFmtId="41" fontId="29" fillId="0" borderId="5" xfId="0" applyNumberFormat="1" applyFont="1" applyBorder="1" applyAlignment="1">
      <alignment horizontal="center" vertical="center"/>
    </xf>
    <xf numFmtId="41" fontId="29" fillId="0" borderId="6" xfId="0" applyNumberFormat="1" applyFont="1" applyBorder="1">
      <alignment vertical="center"/>
    </xf>
    <xf numFmtId="41" fontId="29" fillId="0" borderId="7" xfId="0" applyNumberFormat="1" applyFont="1" applyBorder="1">
      <alignment vertical="center"/>
    </xf>
    <xf numFmtId="41" fontId="29" fillId="0" borderId="7" xfId="0" applyNumberFormat="1" applyFont="1" applyBorder="1" applyAlignment="1">
      <alignment horizontal="center" vertical="center"/>
    </xf>
    <xf numFmtId="41" fontId="32" fillId="0" borderId="4" xfId="0" applyNumberFormat="1" applyFont="1" applyBorder="1">
      <alignment vertical="center"/>
    </xf>
    <xf numFmtId="176" fontId="29" fillId="0" borderId="5" xfId="0" applyNumberFormat="1" applyFont="1" applyBorder="1" applyAlignment="1">
      <alignment horizontal="center" vertical="center"/>
    </xf>
    <xf numFmtId="0" fontId="4" fillId="4" borderId="1" xfId="12" applyFont="1" applyFill="1" applyBorder="1" applyAlignment="1">
      <alignment horizontal="center" vertical="center" wrapText="1"/>
    </xf>
    <xf numFmtId="0" fontId="4" fillId="4" borderId="1" xfId="12" applyFont="1" applyFill="1" applyBorder="1" applyAlignment="1">
      <alignment vertical="center" wrapText="1"/>
    </xf>
    <xf numFmtId="4" fontId="4" fillId="4" borderId="1" xfId="12" applyNumberFormat="1" applyFont="1" applyFill="1" applyBorder="1" applyAlignment="1">
      <alignment vertical="center" wrapText="1"/>
    </xf>
    <xf numFmtId="185" fontId="4" fillId="4" borderId="1" xfId="12" applyNumberFormat="1" applyFont="1" applyFill="1" applyBorder="1" applyAlignment="1">
      <alignment vertical="center" wrapText="1"/>
    </xf>
    <xf numFmtId="0" fontId="34" fillId="0" borderId="1" xfId="12" quotePrefix="1" applyFont="1" applyFill="1" applyBorder="1" applyAlignment="1">
      <alignment vertical="center" wrapText="1"/>
    </xf>
    <xf numFmtId="0" fontId="34" fillId="0" borderId="1" xfId="12" quotePrefix="1" applyFont="1" applyFill="1" applyBorder="1" applyAlignment="1">
      <alignment horizontal="center" vertical="center" wrapText="1"/>
    </xf>
    <xf numFmtId="184" fontId="34" fillId="0" borderId="1" xfId="12" applyNumberFormat="1" applyFont="1" applyFill="1" applyBorder="1" applyAlignment="1">
      <alignment horizontal="center" vertical="center" wrapText="1"/>
    </xf>
    <xf numFmtId="4" fontId="34" fillId="0" borderId="1" xfId="12" applyNumberFormat="1" applyFont="1" applyFill="1" applyBorder="1" applyAlignment="1">
      <alignment vertical="center" wrapText="1"/>
    </xf>
    <xf numFmtId="185" fontId="34" fillId="0" borderId="1" xfId="12" applyNumberFormat="1" applyFont="1" applyFill="1" applyBorder="1" applyAlignment="1">
      <alignment vertical="center" wrapText="1"/>
    </xf>
    <xf numFmtId="0" fontId="4" fillId="0" borderId="1" xfId="12" quotePrefix="1" applyFont="1" applyFill="1" applyBorder="1" applyAlignment="1">
      <alignment vertical="center" wrapText="1"/>
    </xf>
    <xf numFmtId="0" fontId="4" fillId="0" borderId="1" xfId="12" quotePrefix="1" applyFont="1" applyFill="1" applyBorder="1" applyAlignment="1">
      <alignment horizontal="center" vertical="center" wrapText="1"/>
    </xf>
    <xf numFmtId="184" fontId="4" fillId="0" borderId="1" xfId="12" applyNumberFormat="1" applyFont="1" applyFill="1" applyBorder="1" applyAlignment="1">
      <alignment horizontal="center" vertical="center" wrapText="1"/>
    </xf>
    <xf numFmtId="4" fontId="4" fillId="0" borderId="1" xfId="12" applyNumberFormat="1" applyFont="1" applyFill="1" applyBorder="1" applyAlignment="1">
      <alignment vertical="center" wrapText="1"/>
    </xf>
    <xf numFmtId="185" fontId="4" fillId="0" borderId="1" xfId="12" applyNumberFormat="1" applyFont="1" applyFill="1" applyBorder="1" applyAlignment="1">
      <alignment vertical="center" wrapText="1"/>
    </xf>
    <xf numFmtId="0" fontId="30" fillId="0" borderId="3" xfId="0" applyFont="1" applyBorder="1" applyAlignment="1">
      <alignment horizontal="left" vertical="center"/>
    </xf>
    <xf numFmtId="0" fontId="30" fillId="0" borderId="5" xfId="0" applyFont="1" applyBorder="1" applyAlignment="1">
      <alignment horizontal="left" vertical="center"/>
    </xf>
    <xf numFmtId="0" fontId="30" fillId="0" borderId="5" xfId="0" quotePrefix="1" applyFont="1" applyBorder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30" fillId="0" borderId="5" xfId="0" quotePrefix="1" applyFont="1" applyBorder="1" applyAlignment="1">
      <alignment horizontal="center" vertical="center"/>
    </xf>
    <xf numFmtId="2" fontId="30" fillId="0" borderId="5" xfId="0" quotePrefix="1" applyNumberFormat="1" applyFont="1" applyBorder="1" applyAlignment="1">
      <alignment horizontal="center" vertical="center"/>
    </xf>
    <xf numFmtId="0" fontId="34" fillId="4" borderId="1" xfId="12" quotePrefix="1" applyFont="1" applyFill="1" applyBorder="1" applyAlignment="1">
      <alignment horizontal="center" vertical="center" wrapText="1"/>
    </xf>
    <xf numFmtId="184" fontId="34" fillId="4" borderId="1" xfId="12" applyNumberFormat="1" applyFont="1" applyFill="1" applyBorder="1" applyAlignment="1">
      <alignment horizontal="center" vertical="center" wrapText="1"/>
    </xf>
    <xf numFmtId="4" fontId="34" fillId="4" borderId="1" xfId="12" applyNumberFormat="1" applyFont="1" applyFill="1" applyBorder="1" applyAlignment="1">
      <alignment vertical="center" wrapText="1"/>
    </xf>
    <xf numFmtId="185" fontId="34" fillId="4" borderId="1" xfId="12" applyNumberFormat="1" applyFont="1" applyFill="1" applyBorder="1" applyAlignment="1">
      <alignment vertical="center" wrapText="1"/>
    </xf>
    <xf numFmtId="0" fontId="19" fillId="4" borderId="1" xfId="12" quotePrefix="1" applyFont="1" applyFill="1" applyBorder="1" applyAlignment="1">
      <alignment vertical="center" wrapText="1"/>
    </xf>
    <xf numFmtId="0" fontId="3" fillId="0" borderId="1" xfId="12" quotePrefix="1" applyFont="1" applyBorder="1" applyAlignment="1">
      <alignment vertical="center" wrapText="1"/>
    </xf>
    <xf numFmtId="0" fontId="19" fillId="0" borderId="1" xfId="12" quotePrefix="1" applyFont="1" applyFill="1" applyBorder="1" applyAlignment="1">
      <alignment horizontal="center" vertical="center" wrapText="1"/>
    </xf>
    <xf numFmtId="184" fontId="19" fillId="0" borderId="1" xfId="12" applyNumberFormat="1" applyFont="1" applyFill="1" applyBorder="1" applyAlignment="1">
      <alignment horizontal="center" vertical="center" wrapText="1"/>
    </xf>
    <xf numFmtId="4" fontId="19" fillId="0" borderId="1" xfId="12" applyNumberFormat="1" applyFont="1" applyFill="1" applyBorder="1" applyAlignment="1">
      <alignment vertical="center" wrapText="1"/>
    </xf>
    <xf numFmtId="185" fontId="19" fillId="0" borderId="1" xfId="12" applyNumberFormat="1" applyFont="1" applyFill="1" applyBorder="1" applyAlignment="1">
      <alignment vertical="center" wrapText="1"/>
    </xf>
    <xf numFmtId="0" fontId="19" fillId="4" borderId="1" xfId="12" quotePrefix="1" applyFont="1" applyFill="1" applyBorder="1" applyAlignment="1">
      <alignment horizontal="center" vertical="center" wrapText="1"/>
    </xf>
    <xf numFmtId="184" fontId="19" fillId="4" borderId="1" xfId="12" applyNumberFormat="1" applyFont="1" applyFill="1" applyBorder="1" applyAlignment="1">
      <alignment horizontal="center" vertical="center" wrapText="1"/>
    </xf>
    <xf numFmtId="4" fontId="19" fillId="4" borderId="1" xfId="12" applyNumberFormat="1" applyFont="1" applyFill="1" applyBorder="1" applyAlignment="1">
      <alignment vertical="center" wrapText="1"/>
    </xf>
    <xf numFmtId="185" fontId="19" fillId="4" borderId="1" xfId="12" applyNumberFormat="1" applyFont="1" applyFill="1" applyBorder="1" applyAlignment="1">
      <alignment vertical="center" wrapText="1"/>
    </xf>
    <xf numFmtId="41" fontId="35" fillId="0" borderId="5" xfId="0" applyNumberFormat="1" applyFont="1" applyBorder="1">
      <alignment vertical="center"/>
    </xf>
    <xf numFmtId="0" fontId="4" fillId="4" borderId="1" xfId="12" quotePrefix="1" applyFont="1" applyFill="1" applyBorder="1" applyAlignment="1">
      <alignment horizontal="center" vertical="center" wrapText="1"/>
    </xf>
    <xf numFmtId="184" fontId="4" fillId="4" borderId="1" xfId="12" applyNumberFormat="1" applyFont="1" applyFill="1" applyBorder="1" applyAlignment="1">
      <alignment horizontal="center" vertical="center" wrapText="1"/>
    </xf>
    <xf numFmtId="0" fontId="3" fillId="4" borderId="1" xfId="12" quotePrefix="1" applyFont="1" applyFill="1" applyBorder="1" applyAlignment="1">
      <alignment vertical="center" wrapText="1"/>
    </xf>
    <xf numFmtId="0" fontId="36" fillId="0" borderId="28" xfId="6" quotePrefix="1" applyFont="1" applyFill="1" applyBorder="1" applyAlignment="1">
      <alignment horizontal="right" vertical="center"/>
    </xf>
    <xf numFmtId="0" fontId="36" fillId="0" borderId="34" xfId="6" applyFont="1" applyFill="1" applyBorder="1" applyAlignment="1">
      <alignment horizontal="right" vertical="center"/>
    </xf>
    <xf numFmtId="0" fontId="36" fillId="0" borderId="53" xfId="6" applyFont="1" applyFill="1" applyBorder="1" applyAlignment="1">
      <alignment horizontal="right" vertical="center"/>
    </xf>
    <xf numFmtId="0" fontId="36" fillId="0" borderId="28" xfId="6" applyFont="1" applyFill="1" applyBorder="1" applyAlignment="1">
      <alignment horizontal="right" vertical="center"/>
    </xf>
    <xf numFmtId="176" fontId="37" fillId="0" borderId="28" xfId="9" applyNumberFormat="1" applyFont="1" applyFill="1" applyBorder="1" applyAlignment="1">
      <alignment horizontal="right" vertical="center"/>
    </xf>
    <xf numFmtId="176" fontId="36" fillId="0" borderId="28" xfId="9" applyNumberFormat="1" applyFont="1" applyFill="1" applyBorder="1" applyAlignment="1">
      <alignment horizontal="right" vertical="center"/>
    </xf>
    <xf numFmtId="0" fontId="36" fillId="0" borderId="60" xfId="6" applyFont="1" applyFill="1" applyBorder="1" applyAlignment="1">
      <alignment horizontal="right" vertical="center"/>
    </xf>
    <xf numFmtId="0" fontId="36" fillId="0" borderId="38" xfId="6" applyFont="1" applyFill="1" applyBorder="1" applyAlignment="1">
      <alignment horizontal="right" vertical="center"/>
    </xf>
    <xf numFmtId="3" fontId="36" fillId="0" borderId="28" xfId="6" applyNumberFormat="1" applyFont="1" applyFill="1" applyBorder="1" applyAlignment="1">
      <alignment horizontal="right" vertical="center"/>
    </xf>
    <xf numFmtId="0" fontId="30" fillId="0" borderId="0" xfId="0" quotePrefix="1" applyFont="1" applyAlignment="1">
      <alignment vertical="center" wrapText="1"/>
    </xf>
    <xf numFmtId="0" fontId="33" fillId="7" borderId="1" xfId="12" quotePrefix="1" applyFont="1" applyFill="1" applyBorder="1" applyAlignment="1">
      <alignment horizontal="center" vertical="center"/>
    </xf>
    <xf numFmtId="0" fontId="38" fillId="0" borderId="0" xfId="0" applyFont="1">
      <alignment vertical="center"/>
    </xf>
    <xf numFmtId="41" fontId="38" fillId="0" borderId="1" xfId="1" applyFont="1" applyBorder="1">
      <alignment vertical="center"/>
    </xf>
    <xf numFmtId="41" fontId="38" fillId="0" borderId="38" xfId="1" applyFont="1" applyBorder="1">
      <alignment vertical="center"/>
    </xf>
    <xf numFmtId="41" fontId="38" fillId="0" borderId="76" xfId="1" applyFont="1" applyBorder="1">
      <alignment vertical="center"/>
    </xf>
    <xf numFmtId="41" fontId="38" fillId="0" borderId="77" xfId="1" applyFont="1" applyBorder="1" applyAlignment="1">
      <alignment horizontal="center" vertical="center"/>
    </xf>
    <xf numFmtId="41" fontId="38" fillId="0" borderId="77" xfId="1" applyFont="1" applyBorder="1">
      <alignment vertical="center"/>
    </xf>
    <xf numFmtId="41" fontId="38" fillId="8" borderId="78" xfId="1" applyFont="1" applyFill="1" applyBorder="1">
      <alignment vertical="center"/>
    </xf>
    <xf numFmtId="41" fontId="38" fillId="0" borderId="39" xfId="1" applyFont="1" applyBorder="1">
      <alignment vertical="center"/>
    </xf>
    <xf numFmtId="41" fontId="38" fillId="0" borderId="0" xfId="1" applyFont="1">
      <alignment vertical="center"/>
    </xf>
    <xf numFmtId="0" fontId="38" fillId="7" borderId="38" xfId="12" applyFont="1" applyFill="1" applyBorder="1" applyAlignment="1">
      <alignment horizontal="center" vertical="center" wrapText="1"/>
    </xf>
    <xf numFmtId="41" fontId="38" fillId="7" borderId="39" xfId="7" applyFont="1" applyFill="1" applyBorder="1" applyAlignment="1">
      <alignment vertical="center" wrapText="1"/>
    </xf>
    <xf numFmtId="41" fontId="38" fillId="7" borderId="77" xfId="7" applyNumberFormat="1" applyFont="1" applyFill="1" applyBorder="1" applyAlignment="1">
      <alignment horizontal="center" vertical="center" wrapText="1"/>
    </xf>
    <xf numFmtId="41" fontId="38" fillId="7" borderId="38" xfId="7" applyFont="1" applyFill="1" applyBorder="1" applyAlignment="1">
      <alignment horizontal="center" vertical="center" wrapText="1"/>
    </xf>
    <xf numFmtId="41" fontId="38" fillId="7" borderId="76" xfId="7" applyFont="1" applyFill="1" applyBorder="1" applyAlignment="1">
      <alignment vertical="center" wrapText="1"/>
    </xf>
    <xf numFmtId="41" fontId="38" fillId="7" borderId="77" xfId="7" applyFont="1" applyFill="1" applyBorder="1" applyAlignment="1">
      <alignment vertical="center" wrapText="1"/>
    </xf>
    <xf numFmtId="41" fontId="38" fillId="8" borderId="78" xfId="7" applyFont="1" applyFill="1" applyBorder="1" applyAlignment="1">
      <alignment vertical="center" wrapText="1"/>
    </xf>
    <xf numFmtId="186" fontId="38" fillId="7" borderId="39" xfId="12" applyNumberFormat="1" applyFont="1" applyFill="1" applyBorder="1" applyAlignment="1">
      <alignment vertical="center" wrapText="1"/>
    </xf>
    <xf numFmtId="0" fontId="38" fillId="7" borderId="1" xfId="12" quotePrefix="1" applyFont="1" applyFill="1" applyBorder="1" applyAlignment="1">
      <alignment vertical="center" wrapText="1"/>
    </xf>
    <xf numFmtId="186" fontId="38" fillId="0" borderId="1" xfId="12" applyNumberFormat="1" applyFont="1" applyBorder="1" applyAlignment="1">
      <alignment vertical="center" wrapText="1"/>
    </xf>
    <xf numFmtId="0" fontId="38" fillId="0" borderId="1" xfId="12" quotePrefix="1" applyFont="1" applyBorder="1" applyAlignment="1">
      <alignment vertical="center" wrapText="1"/>
    </xf>
    <xf numFmtId="0" fontId="38" fillId="7" borderId="0" xfId="12" applyFont="1" applyFill="1">
      <alignment vertical="center"/>
    </xf>
    <xf numFmtId="41" fontId="38" fillId="7" borderId="77" xfId="7" applyFont="1" applyFill="1" applyBorder="1" applyAlignment="1">
      <alignment horizontal="center" vertical="center" wrapText="1"/>
    </xf>
    <xf numFmtId="185" fontId="39" fillId="7" borderId="1" xfId="12" applyNumberFormat="1" applyFont="1" applyFill="1" applyBorder="1" applyAlignment="1">
      <alignment vertical="center" wrapText="1"/>
    </xf>
    <xf numFmtId="0" fontId="39" fillId="7" borderId="1" xfId="12" quotePrefix="1" applyFont="1" applyFill="1" applyBorder="1" applyAlignment="1">
      <alignment vertical="center" wrapText="1"/>
    </xf>
    <xf numFmtId="0" fontId="39" fillId="7" borderId="0" xfId="12" applyFont="1" applyFill="1">
      <alignment vertical="center"/>
    </xf>
    <xf numFmtId="0" fontId="38" fillId="7" borderId="38" xfId="12" quotePrefix="1" applyFont="1" applyFill="1" applyBorder="1" applyAlignment="1">
      <alignment horizontal="center" vertical="center" wrapText="1"/>
    </xf>
    <xf numFmtId="41" fontId="38" fillId="0" borderId="38" xfId="1" applyFont="1" applyBorder="1" applyAlignment="1">
      <alignment vertical="center" shrinkToFit="1"/>
    </xf>
    <xf numFmtId="0" fontId="38" fillId="0" borderId="0" xfId="0" applyFont="1" applyAlignment="1">
      <alignment horizontal="center" vertical="center"/>
    </xf>
    <xf numFmtId="41" fontId="30" fillId="0" borderId="1" xfId="1" applyFont="1" applyBorder="1">
      <alignment vertical="center"/>
    </xf>
    <xf numFmtId="41" fontId="38" fillId="0" borderId="1" xfId="1" applyFont="1" applyFill="1" applyBorder="1">
      <alignment vertical="center"/>
    </xf>
    <xf numFmtId="41" fontId="30" fillId="0" borderId="4" xfId="0" applyNumberFormat="1" applyFont="1" applyBorder="1">
      <alignment vertical="center"/>
    </xf>
    <xf numFmtId="0" fontId="29" fillId="0" borderId="50" xfId="6" quotePrefix="1" applyFont="1" applyFill="1" applyBorder="1" applyAlignment="1">
      <alignment horizontal="center" vertical="center"/>
    </xf>
    <xf numFmtId="41" fontId="21" fillId="0" borderId="56" xfId="1" applyFont="1" applyFill="1" applyBorder="1" applyAlignment="1">
      <alignment vertical="center"/>
    </xf>
    <xf numFmtId="41" fontId="38" fillId="0" borderId="1" xfId="1" applyFont="1" applyBorder="1" applyAlignment="1">
      <alignment vertical="center" shrinkToFit="1"/>
    </xf>
    <xf numFmtId="41" fontId="38" fillId="0" borderId="38" xfId="1" applyFont="1" applyBorder="1" applyAlignment="1">
      <alignment horizontal="center" vertical="center"/>
    </xf>
    <xf numFmtId="41" fontId="30" fillId="0" borderId="21" xfId="0" applyNumberFormat="1" applyFont="1" applyBorder="1">
      <alignment vertical="center"/>
    </xf>
    <xf numFmtId="41" fontId="30" fillId="0" borderId="21" xfId="0" applyNumberFormat="1" applyFont="1" applyBorder="1" applyAlignment="1">
      <alignment horizontal="center" vertical="center"/>
    </xf>
    <xf numFmtId="0" fontId="30" fillId="0" borderId="5" xfId="0" applyFont="1" applyFill="1" applyBorder="1">
      <alignment vertical="center"/>
    </xf>
    <xf numFmtId="0" fontId="30" fillId="0" borderId="5" xfId="0" applyFont="1" applyFill="1" applyBorder="1" applyAlignment="1">
      <alignment horizontal="center" vertical="center"/>
    </xf>
    <xf numFmtId="41" fontId="40" fillId="0" borderId="5" xfId="0" applyNumberFormat="1" applyFont="1" applyBorder="1">
      <alignment vertical="center"/>
    </xf>
    <xf numFmtId="2" fontId="30" fillId="0" borderId="0" xfId="0" quotePrefix="1" applyNumberFormat="1" applyFont="1" applyAlignment="1">
      <alignment horizontal="center" vertical="center"/>
    </xf>
    <xf numFmtId="2" fontId="30" fillId="0" borderId="5" xfId="0" quotePrefix="1" applyNumberFormat="1" applyFont="1" applyBorder="1" applyAlignment="1">
      <alignment horizontal="left" vertical="center" wrapText="1"/>
    </xf>
    <xf numFmtId="41" fontId="30" fillId="0" borderId="5" xfId="0" applyNumberFormat="1" applyFont="1" applyBorder="1">
      <alignment vertical="center"/>
    </xf>
    <xf numFmtId="41" fontId="38" fillId="0" borderId="77" xfId="1" applyFont="1" applyBorder="1" applyAlignment="1">
      <alignment vertical="center" shrinkToFit="1"/>
    </xf>
    <xf numFmtId="183" fontId="21" fillId="0" borderId="9" xfId="6" quotePrefix="1" applyNumberFormat="1" applyFont="1" applyFill="1" applyBorder="1" applyAlignment="1">
      <alignment horizontal="left" vertical="center"/>
    </xf>
    <xf numFmtId="0" fontId="30" fillId="0" borderId="5" xfId="0" quotePrefix="1" applyFont="1" applyBorder="1" applyAlignment="1">
      <alignment horizontal="left" vertical="center" wrapText="1"/>
    </xf>
    <xf numFmtId="0" fontId="4" fillId="0" borderId="1" xfId="12" quotePrefix="1" applyFont="1" applyFill="1" applyBorder="1" applyAlignment="1">
      <alignment horizontal="left" vertical="center" wrapText="1"/>
    </xf>
    <xf numFmtId="41" fontId="30" fillId="0" borderId="1" xfId="0" applyNumberFormat="1" applyFont="1" applyFill="1" applyBorder="1">
      <alignment vertical="center"/>
    </xf>
    <xf numFmtId="41" fontId="30" fillId="0" borderId="1" xfId="0" applyNumberFormat="1" applyFont="1" applyFill="1" applyBorder="1" applyAlignment="1">
      <alignment horizontal="center" vertical="center"/>
    </xf>
    <xf numFmtId="41" fontId="30" fillId="0" borderId="1" xfId="0" quotePrefix="1" applyNumberFormat="1" applyFont="1" applyFill="1" applyBorder="1">
      <alignment vertical="center"/>
    </xf>
    <xf numFmtId="41" fontId="30" fillId="11" borderId="1" xfId="0" applyNumberFormat="1" applyFont="1" applyFill="1" applyBorder="1">
      <alignment vertical="center"/>
    </xf>
    <xf numFmtId="41" fontId="30" fillId="11" borderId="1" xfId="0" applyNumberFormat="1" applyFont="1" applyFill="1" applyBorder="1" applyAlignment="1">
      <alignment horizontal="center" vertical="center"/>
    </xf>
    <xf numFmtId="187" fontId="19" fillId="0" borderId="1" xfId="12" applyNumberFormat="1" applyFont="1" applyFill="1" applyBorder="1" applyAlignment="1">
      <alignment horizontal="center" vertical="center" wrapText="1"/>
    </xf>
    <xf numFmtId="2" fontId="30" fillId="0" borderId="5" xfId="0" applyNumberFormat="1" applyFont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188" fontId="38" fillId="0" borderId="76" xfId="1" applyNumberFormat="1" applyFont="1" applyBorder="1">
      <alignment vertical="center"/>
    </xf>
    <xf numFmtId="188" fontId="38" fillId="8" borderId="78" xfId="1" applyNumberFormat="1" applyFont="1" applyFill="1" applyBorder="1">
      <alignment vertical="center"/>
    </xf>
    <xf numFmtId="41" fontId="29" fillId="0" borderId="80" xfId="0" applyNumberFormat="1" applyFont="1" applyBorder="1">
      <alignment vertical="center"/>
    </xf>
    <xf numFmtId="176" fontId="29" fillId="0" borderId="7" xfId="0" applyNumberFormat="1" applyFont="1" applyBorder="1" applyAlignment="1">
      <alignment horizontal="center" vertical="center"/>
    </xf>
    <xf numFmtId="41" fontId="29" fillId="0" borderId="37" xfId="0" applyNumberFormat="1" applyFont="1" applyBorder="1">
      <alignment vertical="center"/>
    </xf>
    <xf numFmtId="41" fontId="4" fillId="0" borderId="2" xfId="0" applyNumberFormat="1" applyFont="1" applyBorder="1" applyAlignment="1">
      <alignment horizontal="center" vertical="center"/>
    </xf>
    <xf numFmtId="41" fontId="4" fillId="0" borderId="27" xfId="0" applyNumberFormat="1" applyFont="1" applyBorder="1">
      <alignment vertical="center"/>
    </xf>
    <xf numFmtId="41" fontId="5" fillId="0" borderId="4" xfId="0" quotePrefix="1" applyNumberFormat="1" applyFont="1" applyBorder="1" applyAlignment="1">
      <alignment horizontal="center" vertical="center"/>
    </xf>
    <xf numFmtId="41" fontId="4" fillId="0" borderId="6" xfId="0" applyNumberFormat="1" applyFont="1" applyBorder="1">
      <alignment vertical="center"/>
    </xf>
    <xf numFmtId="41" fontId="4" fillId="0" borderId="4" xfId="0" quotePrefix="1" applyNumberFormat="1" applyFont="1" applyBorder="1" applyAlignment="1">
      <alignment horizontal="center" vertical="center"/>
    </xf>
    <xf numFmtId="41" fontId="4" fillId="4" borderId="4" xfId="0" quotePrefix="1" applyNumberFormat="1" applyFont="1" applyFill="1" applyBorder="1" applyAlignment="1">
      <alignment horizontal="center" vertical="center"/>
    </xf>
    <xf numFmtId="41" fontId="4" fillId="4" borderId="6" xfId="0" applyNumberFormat="1" applyFont="1" applyFill="1" applyBorder="1">
      <alignment vertical="center"/>
    </xf>
    <xf numFmtId="41" fontId="4" fillId="0" borderId="4" xfId="0" applyNumberFormat="1" applyFont="1" applyBorder="1" applyAlignment="1">
      <alignment horizontal="center" vertical="center"/>
    </xf>
    <xf numFmtId="41" fontId="4" fillId="3" borderId="4" xfId="0" applyNumberFormat="1" applyFont="1" applyFill="1" applyBorder="1" applyAlignment="1">
      <alignment horizontal="center" vertical="center"/>
    </xf>
    <xf numFmtId="41" fontId="4" fillId="3" borderId="6" xfId="0" applyNumberFormat="1" applyFont="1" applyFill="1" applyBorder="1">
      <alignment vertical="center"/>
    </xf>
    <xf numFmtId="41" fontId="4" fillId="0" borderId="6" xfId="0" applyNumberFormat="1" applyFont="1" applyFill="1" applyBorder="1">
      <alignment vertical="center"/>
    </xf>
    <xf numFmtId="41" fontId="4" fillId="0" borderId="4" xfId="0" applyNumberFormat="1" applyFont="1" applyFill="1" applyBorder="1" applyAlignment="1">
      <alignment horizontal="center" vertical="center"/>
    </xf>
    <xf numFmtId="41" fontId="4" fillId="0" borderId="0" xfId="0" applyNumberFormat="1" applyFont="1" applyBorder="1">
      <alignment vertical="center"/>
    </xf>
    <xf numFmtId="41" fontId="4" fillId="0" borderId="4" xfId="0" quotePrefix="1" applyNumberFormat="1" applyFont="1" applyFill="1" applyBorder="1" applyAlignment="1">
      <alignment horizontal="center" vertical="center"/>
    </xf>
    <xf numFmtId="41" fontId="4" fillId="0" borderId="80" xfId="0" applyNumberFormat="1" applyFont="1" applyFill="1" applyBorder="1" applyAlignment="1">
      <alignment horizontal="center" vertical="center"/>
    </xf>
    <xf numFmtId="41" fontId="4" fillId="0" borderId="7" xfId="0" applyNumberFormat="1" applyFont="1" applyFill="1" applyBorder="1">
      <alignment vertical="center"/>
    </xf>
    <xf numFmtId="41" fontId="4" fillId="0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41" fontId="4" fillId="0" borderId="37" xfId="0" applyNumberFormat="1" applyFont="1" applyFill="1" applyBorder="1">
      <alignment vertical="center"/>
    </xf>
    <xf numFmtId="0" fontId="30" fillId="0" borderId="80" xfId="0" applyFont="1" applyBorder="1">
      <alignment vertical="center"/>
    </xf>
    <xf numFmtId="0" fontId="30" fillId="0" borderId="7" xfId="0" applyFont="1" applyBorder="1">
      <alignment vertical="center"/>
    </xf>
    <xf numFmtId="0" fontId="30" fillId="0" borderId="7" xfId="0" applyFont="1" applyBorder="1" applyAlignment="1">
      <alignment horizontal="center" vertical="center"/>
    </xf>
    <xf numFmtId="2" fontId="30" fillId="0" borderId="7" xfId="0" applyNumberFormat="1" applyFont="1" applyBorder="1" applyAlignment="1">
      <alignment horizontal="center" vertical="center"/>
    </xf>
    <xf numFmtId="0" fontId="30" fillId="0" borderId="7" xfId="0" quotePrefix="1" applyFont="1" applyBorder="1" applyAlignment="1">
      <alignment horizontal="left" vertical="center"/>
    </xf>
    <xf numFmtId="0" fontId="30" fillId="0" borderId="37" xfId="0" applyFont="1" applyBorder="1">
      <alignment vertical="center"/>
    </xf>
    <xf numFmtId="0" fontId="18" fillId="0" borderId="1" xfId="5" applyFont="1" applyBorder="1" applyAlignment="1">
      <alignment horizontal="center" vertical="center"/>
    </xf>
    <xf numFmtId="0" fontId="20" fillId="0" borderId="0" xfId="4" applyFont="1" applyBorder="1" applyAlignment="1">
      <alignment horizontal="left" vertical="center"/>
    </xf>
    <xf numFmtId="0" fontId="15" fillId="6" borderId="38" xfId="3" applyFont="1" applyFill="1" applyBorder="1" applyAlignment="1">
      <alignment horizontal="center" vertical="center"/>
    </xf>
    <xf numFmtId="0" fontId="15" fillId="6" borderId="15" xfId="3" applyFont="1" applyFill="1" applyBorder="1" applyAlignment="1">
      <alignment horizontal="center" vertical="center"/>
    </xf>
    <xf numFmtId="0" fontId="15" fillId="6" borderId="39" xfId="3" applyFont="1" applyFill="1" applyBorder="1" applyAlignment="1">
      <alignment horizontal="center" vertical="center"/>
    </xf>
    <xf numFmtId="0" fontId="17" fillId="0" borderId="0" xfId="4" applyFont="1" applyBorder="1" applyAlignment="1">
      <alignment horizontal="left" vertical="center"/>
    </xf>
    <xf numFmtId="177" fontId="9" fillId="5" borderId="0" xfId="2" applyNumberFormat="1" applyFont="1" applyFill="1" applyBorder="1" applyAlignment="1">
      <alignment horizontal="center" vertical="center"/>
    </xf>
    <xf numFmtId="0" fontId="11" fillId="0" borderId="0" xfId="2" applyFont="1" applyBorder="1" applyAlignment="1">
      <alignment vertical="distributed"/>
    </xf>
    <xf numFmtId="177" fontId="14" fillId="5" borderId="8" xfId="2" applyNumberFormat="1" applyFont="1" applyFill="1" applyBorder="1" applyAlignment="1">
      <alignment horizontal="center" vertical="center"/>
    </xf>
    <xf numFmtId="177" fontId="14" fillId="5" borderId="14" xfId="2" applyNumberFormat="1" applyFont="1" applyFill="1" applyBorder="1" applyAlignment="1">
      <alignment horizontal="center" vertical="center"/>
    </xf>
    <xf numFmtId="177" fontId="14" fillId="5" borderId="34" xfId="2" applyNumberFormat="1" applyFont="1" applyFill="1" applyBorder="1" applyAlignment="1">
      <alignment horizontal="center" vertical="center"/>
    </xf>
    <xf numFmtId="177" fontId="14" fillId="5" borderId="35" xfId="2" applyNumberFormat="1" applyFont="1" applyFill="1" applyBorder="1" applyAlignment="1">
      <alignment horizontal="center" vertical="center"/>
    </xf>
    <xf numFmtId="177" fontId="14" fillId="5" borderId="36" xfId="2" applyNumberFormat="1" applyFont="1" applyFill="1" applyBorder="1" applyAlignment="1">
      <alignment horizontal="center" vertical="center"/>
    </xf>
    <xf numFmtId="178" fontId="14" fillId="5" borderId="35" xfId="2" applyNumberFormat="1" applyFont="1" applyFill="1" applyBorder="1" applyAlignment="1">
      <alignment horizontal="left" vertical="center" shrinkToFit="1"/>
    </xf>
    <xf numFmtId="0" fontId="21" fillId="0" borderId="69" xfId="6" applyFont="1" applyFill="1" applyBorder="1" applyAlignment="1">
      <alignment horizontal="center" vertical="center"/>
    </xf>
    <xf numFmtId="0" fontId="21" fillId="0" borderId="70" xfId="6" applyFont="1" applyFill="1" applyBorder="1" applyAlignment="1">
      <alignment horizontal="center" vertical="center"/>
    </xf>
    <xf numFmtId="0" fontId="21" fillId="0" borderId="68" xfId="6" applyFont="1" applyFill="1" applyBorder="1" applyAlignment="1">
      <alignment horizontal="center" vertical="center"/>
    </xf>
    <xf numFmtId="0" fontId="21" fillId="0" borderId="11" xfId="6" applyFont="1" applyFill="1" applyBorder="1" applyAlignment="1">
      <alignment horizontal="center" vertical="center"/>
    </xf>
    <xf numFmtId="0" fontId="24" fillId="0" borderId="47" xfId="6" applyFont="1" applyFill="1" applyBorder="1" applyAlignment="1">
      <alignment horizontal="center" vertical="center"/>
    </xf>
    <xf numFmtId="0" fontId="24" fillId="0" borderId="48" xfId="6" applyFont="1" applyFill="1" applyBorder="1" applyAlignment="1">
      <alignment horizontal="center" vertical="center"/>
    </xf>
    <xf numFmtId="0" fontId="21" fillId="0" borderId="60" xfId="6" applyFont="1" applyFill="1" applyBorder="1" applyAlignment="1">
      <alignment horizontal="distributed" vertical="center"/>
    </xf>
    <xf numFmtId="0" fontId="21" fillId="0" borderId="53" xfId="6" applyFont="1" applyFill="1" applyBorder="1" applyAlignment="1">
      <alignment horizontal="distributed" vertical="center"/>
    </xf>
    <xf numFmtId="0" fontId="21" fillId="0" borderId="66" xfId="6" applyFont="1" applyFill="1" applyBorder="1" applyAlignment="1">
      <alignment horizontal="center" vertical="center"/>
    </xf>
    <xf numFmtId="0" fontId="21" fillId="0" borderId="67" xfId="6" applyFont="1" applyFill="1" applyBorder="1" applyAlignment="1">
      <alignment horizontal="center" vertical="center"/>
    </xf>
    <xf numFmtId="0" fontId="21" fillId="0" borderId="9" xfId="6" applyFont="1" applyFill="1" applyBorder="1" applyAlignment="1">
      <alignment horizontal="center" vertical="center"/>
    </xf>
    <xf numFmtId="41" fontId="32" fillId="10" borderId="38" xfId="0" applyNumberFormat="1" applyFont="1" applyFill="1" applyBorder="1" applyAlignment="1">
      <alignment horizontal="center" vertical="center"/>
    </xf>
    <xf numFmtId="41" fontId="32" fillId="10" borderId="39" xfId="0" applyNumberFormat="1" applyFont="1" applyFill="1" applyBorder="1" applyAlignment="1">
      <alignment horizontal="center" vertical="center"/>
    </xf>
    <xf numFmtId="41" fontId="30" fillId="10" borderId="18" xfId="0" applyNumberFormat="1" applyFont="1" applyFill="1" applyBorder="1" applyAlignment="1">
      <alignment horizontal="center" vertical="center"/>
    </xf>
    <xf numFmtId="41" fontId="30" fillId="10" borderId="19" xfId="0" applyNumberFormat="1" applyFont="1" applyFill="1" applyBorder="1" applyAlignment="1">
      <alignment horizontal="center" vertical="center"/>
    </xf>
    <xf numFmtId="41" fontId="32" fillId="10" borderId="18" xfId="0" applyNumberFormat="1" applyFont="1" applyFill="1" applyBorder="1" applyAlignment="1">
      <alignment horizontal="center" vertical="center"/>
    </xf>
    <xf numFmtId="41" fontId="32" fillId="10" borderId="19" xfId="0" applyNumberFormat="1" applyFont="1" applyFill="1" applyBorder="1" applyAlignment="1">
      <alignment horizontal="center" vertical="center"/>
    </xf>
    <xf numFmtId="41" fontId="5" fillId="2" borderId="16" xfId="0" applyNumberFormat="1" applyFont="1" applyFill="1" applyBorder="1" applyAlignment="1">
      <alignment horizontal="center" vertical="center"/>
    </xf>
    <xf numFmtId="41" fontId="5" fillId="2" borderId="17" xfId="0" applyNumberFormat="1" applyFont="1" applyFill="1" applyBorder="1" applyAlignment="1">
      <alignment horizontal="center" vertical="center"/>
    </xf>
    <xf numFmtId="176" fontId="5" fillId="2" borderId="16" xfId="0" applyNumberFormat="1" applyFont="1" applyFill="1" applyBorder="1" applyAlignment="1">
      <alignment horizontal="center" vertical="center"/>
    </xf>
    <xf numFmtId="176" fontId="5" fillId="2" borderId="17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2" borderId="18" xfId="0" applyNumberFormat="1" applyFont="1" applyFill="1" applyBorder="1" applyAlignment="1">
      <alignment horizontal="center" vertical="center"/>
    </xf>
    <xf numFmtId="41" fontId="5" fillId="2" borderId="19" xfId="0" applyNumberFormat="1" applyFont="1" applyFill="1" applyBorder="1" applyAlignment="1">
      <alignment horizontal="center" vertical="center"/>
    </xf>
    <xf numFmtId="0" fontId="33" fillId="0" borderId="1" xfId="12" quotePrefix="1" applyFont="1" applyBorder="1" applyAlignment="1">
      <alignment horizontal="center" vertical="center"/>
    </xf>
    <xf numFmtId="0" fontId="4" fillId="4" borderId="38" xfId="12" applyFont="1" applyFill="1" applyBorder="1" applyAlignment="1">
      <alignment horizontal="left" vertical="center" wrapText="1"/>
    </xf>
    <xf numFmtId="0" fontId="4" fillId="4" borderId="39" xfId="12" applyFont="1" applyFill="1" applyBorder="1" applyAlignment="1">
      <alignment horizontal="left" vertical="center" wrapText="1"/>
    </xf>
    <xf numFmtId="0" fontId="4" fillId="4" borderId="38" xfId="12" quotePrefix="1" applyFont="1" applyFill="1" applyBorder="1" applyAlignment="1">
      <alignment horizontal="left" vertical="center" wrapText="1"/>
    </xf>
    <xf numFmtId="0" fontId="4" fillId="4" borderId="39" xfId="12" quotePrefix="1" applyFont="1" applyFill="1" applyBorder="1" applyAlignment="1">
      <alignment horizontal="left" vertical="center" wrapText="1"/>
    </xf>
    <xf numFmtId="0" fontId="34" fillId="4" borderId="38" xfId="12" quotePrefix="1" applyFont="1" applyFill="1" applyBorder="1" applyAlignment="1">
      <alignment horizontal="left" vertical="center" wrapText="1"/>
    </xf>
    <xf numFmtId="0" fontId="34" fillId="4" borderId="39" xfId="12" quotePrefix="1" applyFont="1" applyFill="1" applyBorder="1" applyAlignment="1">
      <alignment horizontal="left" vertical="center" wrapText="1"/>
    </xf>
    <xf numFmtId="0" fontId="3" fillId="4" borderId="38" xfId="12" quotePrefix="1" applyFont="1" applyFill="1" applyBorder="1" applyAlignment="1">
      <alignment horizontal="left" vertical="center" wrapText="1"/>
    </xf>
    <xf numFmtId="0" fontId="3" fillId="4" borderId="39" xfId="12" quotePrefix="1" applyFont="1" applyFill="1" applyBorder="1" applyAlignment="1">
      <alignment horizontal="left" vertical="center" wrapText="1"/>
    </xf>
    <xf numFmtId="0" fontId="33" fillId="0" borderId="18" xfId="12" quotePrefix="1" applyFont="1" applyBorder="1" applyAlignment="1">
      <alignment horizontal="center" vertical="center"/>
    </xf>
    <xf numFmtId="0" fontId="33" fillId="0" borderId="19" xfId="12" quotePrefix="1" applyFont="1" applyBorder="1" applyAlignment="1">
      <alignment horizontal="center" vertical="center"/>
    </xf>
    <xf numFmtId="184" fontId="33" fillId="0" borderId="1" xfId="12" quotePrefix="1" applyNumberFormat="1" applyFont="1" applyBorder="1" applyAlignment="1">
      <alignment horizontal="center" vertical="center"/>
    </xf>
    <xf numFmtId="0" fontId="33" fillId="7" borderId="1" xfId="12" quotePrefix="1" applyFont="1" applyFill="1" applyBorder="1" applyAlignment="1">
      <alignment horizontal="center" vertical="center"/>
    </xf>
    <xf numFmtId="0" fontId="33" fillId="7" borderId="38" xfId="12" quotePrefix="1" applyFont="1" applyFill="1" applyBorder="1" applyAlignment="1">
      <alignment horizontal="center" vertical="center"/>
    </xf>
    <xf numFmtId="41" fontId="33" fillId="7" borderId="1" xfId="7" quotePrefix="1" applyFont="1" applyFill="1" applyBorder="1" applyAlignment="1">
      <alignment horizontal="center" vertical="center"/>
    </xf>
    <xf numFmtId="41" fontId="33" fillId="7" borderId="39" xfId="7" quotePrefix="1" applyFont="1" applyFill="1" applyBorder="1" applyAlignment="1">
      <alignment horizontal="center" vertical="center"/>
    </xf>
  </cellXfs>
  <cellStyles count="14">
    <cellStyle name="백분율 2" xfId="10" xr:uid="{00000000-0005-0000-0000-000000000000}"/>
    <cellStyle name="백분율 2 2" xfId="11" xr:uid="{00000000-0005-0000-0000-000001000000}"/>
    <cellStyle name="쉼표 [0]" xfId="1" builtinId="6"/>
    <cellStyle name="쉼표 [0] 2" xfId="7" xr:uid="{00000000-0005-0000-0000-000003000000}"/>
    <cellStyle name="쉼표 [0] 2 2 2" xfId="8" xr:uid="{00000000-0005-0000-0000-000004000000}"/>
    <cellStyle name="표준" xfId="0" builtinId="0"/>
    <cellStyle name="표준 2" xfId="2" xr:uid="{00000000-0005-0000-0000-000006000000}"/>
    <cellStyle name="표준 3" xfId="13" xr:uid="{00000000-0005-0000-0000-000007000000}"/>
    <cellStyle name="표준 4 2" xfId="12" xr:uid="{00000000-0005-0000-0000-000008000000}"/>
    <cellStyle name="표준 54" xfId="4" xr:uid="{00000000-0005-0000-0000-000009000000}"/>
    <cellStyle name="표준_MM밀양지" xfId="6" xr:uid="{00000000-0005-0000-0000-00000A000000}"/>
    <cellStyle name="표준_공동주택주도로정비설계내역서및일위대가(2006년도)" xfId="5" xr:uid="{00000000-0005-0000-0000-00000B000000}"/>
    <cellStyle name="표준_미아3지구내역납품3-0816" xfId="3" xr:uid="{00000000-0005-0000-0000-00000C000000}"/>
    <cellStyle name="표준_신우초연결복도(040406)" xfId="9" xr:uid="{00000000-0005-0000-0000-00000D000000}"/>
  </cellStyles>
  <dxfs count="0"/>
  <tableStyles count="0" defaultTableStyle="TableStyleMedium2" defaultPivotStyle="PivotStyleLight16"/>
  <colors>
    <mruColors>
      <color rgb="FF99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externalLink" Target="externalLinks/externalLink16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externalLink" Target="externalLinks/externalLink18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31" Type="http://schemas.openxmlformats.org/officeDocument/2006/relationships/externalLink" Target="externalLinks/externalLink2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externalLink" Target="externalLinks/externalLink17.xml"/><Relationship Id="rId30" Type="http://schemas.openxmlformats.org/officeDocument/2006/relationships/externalLink" Target="externalLinks/externalLink2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104018</xdr:colOff>
      <xdr:row>0</xdr:row>
      <xdr:rowOff>1</xdr:rowOff>
    </xdr:from>
    <xdr:to>
      <xdr:col>7</xdr:col>
      <xdr:colOff>442674</xdr:colOff>
      <xdr:row>32</xdr:row>
      <xdr:rowOff>196851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018" y="1"/>
          <a:ext cx="4961456" cy="7105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42333</xdr:rowOff>
    </xdr:from>
    <xdr:to>
      <xdr:col>8</xdr:col>
      <xdr:colOff>347889</xdr:colOff>
      <xdr:row>37</xdr:row>
      <xdr:rowOff>14816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333"/>
          <a:ext cx="5597222" cy="78041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7\&#51064;&#52380;&#44397;&#51228;&#44277;&#54637;(A-5&#44277;&#44396;)\&#44053;&#46041;&#54252;&#54637;\&#45236;&#50669;&#49436;&#4405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1\EB_1\1KON\YANGSIK\GAEYOXL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PJW/FORM/APT/SUM-PL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1\EB_1\1-1WORK\2&#49688;&#50896;&#48124;&#51088;&#50669;&#49324;2\&#51068;&#48152;&#53664;&#47785;&#44148;&#52629;\&#52509;&#44292;&#50896;&#44032;&#44228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2PROJECT\PLANT\Z98037\SUM-CTI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116;&#51652;\&#49444;&#44228;&#48320;&#44221;\&#48149;&#54788;&#51456;\&#44277;&#47924;&#51221;&#49328;\&#44277;&#47924;&#51221;&#49328;\2&#50900;\Book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mail/892180.nsf/38d46bf5e8f08834852564b500129b2c/f99867414dbedfb849256a78000d6a71/$FILE/&#50896;&#4837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ia01\&#45824;&#54840;&#44277;&#50689;(&#51452;)\01.&#49444;&#44228;\06.&#49340;&#51088;&#49444;&#44228;\&#44221;&#44592;&#46020;%20&#54616;&#45224;&#49884;%20&#49884;&#47549;&#46020;&#49436;&#44288;%20&#52285;&#54840;&#44368;&#52404;&#44277;&#49324;\USER\RA\TANHYUN\E_NAEYOU\NAE-30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8149;&#49464;&#55148;\Documents\&#45348;&#51060;&#53944;&#50728;%20&#48155;&#51008;%20&#54028;&#51068;\PJW\FORM\APT\SUM-PLT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2PROJECT\PLANT\Z98037\SUM-CTI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44540;\C\&#44033;&#54788;&#51109;\&#44060;&#49328;&#44204;&#51201;\&#44400;&#54252;&#44552;&#51221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mb\project\2PROJECT\PLANT\Z98037\SUM-CTI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1116;&#51652;\&#49444;&#44228;&#48320;&#44221;\My%20Documents\&#44032;&#49328;&#46041;SK\&#44277;&#47924;\&#44592;&#49457;\&#44277;&#47924;\&#44592;&#49457;\temp\SUIVI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wner\&#48148;&#53461;%20&#54868;&#47732;\&#48149;&#51648;&#50896;&#51089;&#50629;\PROJECT\&#49324;&#51204;&#44277;&#49324;\&#48516;&#45817;&#50556;&#53457;\1&#52264;&#44208;&#51116;\PJW\FORM\APT\SUM-PLT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51652\d\&#44608;&#50857;&#44592;\&#50641;&#49472;\GUMI4B2\&#44396;&#48120;4&#45800;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BH\&#45824;&#45236;\&#50696;&#49328;\&#51060;&#50900;\JC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464;&#50689;\C\&#44033;&#54788;&#51109;\&#44060;&#49328;&#44204;&#51201;\&#44400;&#54252;&#44552;&#5122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204;&#51201;\&#44148;&#52629;\&#54644;&#50868;&#45824;&#51340;&#46041;&#50724;&#54588;&#49828;&#53588;\&#49892;&#54665;(12.13)\&#51204;&#52404;&#49892;&#54665;\PJW\FORM\APT\SUM-PL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식재발주"/>
      <sheetName val="업협"/>
      <sheetName val="갑을지"/>
      <sheetName val="간지양식"/>
      <sheetName val="총괄표"/>
      <sheetName val="수량분개내역"/>
      <sheetName val="Sheet1"/>
      <sheetName val="Sheet2"/>
      <sheetName val="Sheet3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중기사용료"/>
      <sheetName val="참조"/>
      <sheetName val="입찰안"/>
      <sheetName val="골재"/>
      <sheetName val="집계표"/>
      <sheetName val="견적의뢰서"/>
      <sheetName val="#REF"/>
      <sheetName val="DATE"/>
      <sheetName val="단가"/>
      <sheetName val="포장임대"/>
      <sheetName val="실행대비"/>
      <sheetName val="BID"/>
      <sheetName val="평가데이터"/>
      <sheetName val="XL4Poppy"/>
      <sheetName val="대비"/>
      <sheetName val="토공 갑지"/>
      <sheetName val="토목"/>
      <sheetName val="자재일람"/>
      <sheetName val="수량3"/>
      <sheetName val="뚝토공"/>
      <sheetName val="특수선일위대가"/>
      <sheetName val="설계조건"/>
      <sheetName val="3.공통공사대비"/>
      <sheetName val="설계가"/>
      <sheetName val="인사자료총집계"/>
      <sheetName val="갑지"/>
      <sheetName val="집수정(600-700)"/>
      <sheetName val="Proposal"/>
      <sheetName val="양수장(기계)"/>
      <sheetName val="일위대가"/>
      <sheetName val="미지급금"/>
      <sheetName val="000000"/>
      <sheetName val="내역서강"/>
      <sheetName val="현황"/>
      <sheetName val="골조시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#REF"/>
      <sheetName val="단가"/>
      <sheetName val="교대(A1-A2)"/>
      <sheetName val="공사개요"/>
      <sheetName val="내역서"/>
      <sheetName val="Dae_Jiju"/>
      <sheetName val="Sikje_ingun"/>
      <sheetName val="TREE_D"/>
      <sheetName val="일위대가"/>
      <sheetName val="실행내역"/>
      <sheetName val="교대(A1)"/>
      <sheetName val="견적의뢰서"/>
      <sheetName val="배수공"/>
      <sheetName val="집계표"/>
      <sheetName val="건축내역"/>
      <sheetName val="대비"/>
      <sheetName val="Sheet1 (2)"/>
      <sheetName val="별표총괄"/>
      <sheetName val="노임"/>
      <sheetName val="공종별"/>
      <sheetName val="총괄내역서"/>
      <sheetName val="BID"/>
      <sheetName val="사용성검토"/>
      <sheetName val="가격조사서"/>
      <sheetName val="청천내"/>
      <sheetName val="부하(성남)"/>
      <sheetName val="해평견적"/>
      <sheetName val="물가변동 총괄서"/>
      <sheetName val="수량조서(신)"/>
      <sheetName val="금액내역서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공사비총괄표"/>
      <sheetName val="기초1"/>
      <sheetName val="인건비"/>
      <sheetName val="실행철강하도"/>
      <sheetName val="ASALTOTA"/>
      <sheetName val="일H35Y4"/>
      <sheetName val="양수장(기계)"/>
      <sheetName val="EUL"/>
      <sheetName val="제잡비"/>
      <sheetName val="MIJIBI"/>
      <sheetName val="대림경상68억"/>
      <sheetName val="부속동"/>
      <sheetName val="수량집계"/>
      <sheetName val="설계조건"/>
      <sheetName val="방배동내역(한영)"/>
      <sheetName val="제수"/>
      <sheetName val="공기"/>
      <sheetName val="재료비"/>
      <sheetName val="시공여유율"/>
      <sheetName val="저"/>
      <sheetName val="Sheet1"/>
      <sheetName val="장비집계"/>
      <sheetName val="Sheet17"/>
      <sheetName val="도시가스현황"/>
      <sheetName val="내역"/>
      <sheetName val="간접"/>
      <sheetName val="단위단가"/>
      <sheetName val="중기사용료"/>
      <sheetName val="새공통"/>
      <sheetName val="대전-교대(A1-A2)"/>
      <sheetName val="노무비계"/>
      <sheetName val="취수탑"/>
      <sheetName val="맨홀수량"/>
      <sheetName val="허용전류-IEC"/>
      <sheetName val="허용전류-IEC DATA"/>
      <sheetName val="노임단가"/>
      <sheetName val="7.1유효폭"/>
      <sheetName val="36+45-113-18+19+20I"/>
      <sheetName val="현장관리비"/>
      <sheetName val="정부노임단가"/>
      <sheetName val="TEST1"/>
      <sheetName val="노무비단가"/>
      <sheetName val="조명시설"/>
      <sheetName val="증감내역서"/>
      <sheetName val="단면치수"/>
      <sheetName val="현황산출서"/>
      <sheetName val="건축공사실행"/>
      <sheetName val="데이타"/>
      <sheetName val="부하계산서"/>
      <sheetName val="동력부하계산"/>
      <sheetName val="Sheet3"/>
      <sheetName val="변경내역대비표(2)"/>
      <sheetName val="단면 (2)"/>
      <sheetName val="경비"/>
      <sheetName val="도급"/>
      <sheetName val="토사(PE)"/>
      <sheetName val="갑지1"/>
      <sheetName val="구조물견적"/>
      <sheetName val="기기리스트"/>
      <sheetName val="노임이"/>
      <sheetName val="토목주소"/>
      <sheetName val="프랜트면허"/>
      <sheetName val="인사자료총집계"/>
      <sheetName val="평가데이터"/>
      <sheetName val="공사비예산서(토목분)"/>
      <sheetName val="DATE"/>
      <sheetName val="수량3"/>
      <sheetName val="Sheet5"/>
      <sheetName val="INPUT"/>
      <sheetName val="EQUIP LIST"/>
      <sheetName val="현장관리비 산출내역"/>
      <sheetName val="Y-WORK"/>
      <sheetName val="물가시세"/>
      <sheetName val="자료"/>
      <sheetName val="본선 토공 분배표"/>
      <sheetName val="기본단가"/>
      <sheetName val="주식"/>
      <sheetName val="000000"/>
      <sheetName val="CTEMCOST"/>
      <sheetName val="장비"/>
      <sheetName val="산근1"/>
      <sheetName val="노무"/>
      <sheetName val="자재"/>
      <sheetName val="지급자재"/>
      <sheetName val="총공사내역서"/>
      <sheetName val="공문"/>
      <sheetName val="물량"/>
      <sheetName val="3.공통공사대비"/>
      <sheetName val="D01"/>
      <sheetName val="D02"/>
      <sheetName val="전기"/>
      <sheetName val="뚝토공"/>
      <sheetName val="토공 갑지"/>
      <sheetName val="BOX 본체"/>
      <sheetName val="원형1호맨홀토공수량"/>
      <sheetName val="특수선일위대가"/>
      <sheetName val="장비내역서"/>
      <sheetName val="구조물철거타공정이월"/>
      <sheetName val="MAT"/>
      <sheetName val="갑지(추정)"/>
      <sheetName val="JUCKEYK"/>
      <sheetName val="바닥판"/>
      <sheetName val=" "/>
      <sheetName val="WORK"/>
      <sheetName val="표지"/>
      <sheetName val="자재수량"/>
      <sheetName val="정SW_원_"/>
      <sheetName val="입찰안"/>
      <sheetName val="차액보증"/>
      <sheetName val="변수데이타"/>
      <sheetName val="COVER-P"/>
      <sheetName val="식재인부"/>
      <sheetName val="간접비"/>
      <sheetName val="1-1"/>
      <sheetName val="내역1"/>
      <sheetName val="CIVIL"/>
      <sheetName val="단가비교표"/>
      <sheetName val="기계경비일람"/>
      <sheetName val="총괄표"/>
      <sheetName val="1,2,3,4,5단위수량"/>
      <sheetName val="자재단가"/>
      <sheetName val="기계경비(시간당)"/>
      <sheetName val="램머"/>
      <sheetName val="침하계"/>
      <sheetName val="각사별공사비분개 "/>
      <sheetName val="SG"/>
      <sheetName val="터널전기"/>
      <sheetName val="출자한도"/>
      <sheetName val="대로근거"/>
      <sheetName val="중로근거"/>
      <sheetName val="경비2내역"/>
      <sheetName val="을 2"/>
      <sheetName val="을 1"/>
      <sheetName val="9811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설계개요"/>
      <sheetName val="예가표"/>
      <sheetName val="9GNG운반"/>
      <sheetName val="단가조사표"/>
      <sheetName val="70%"/>
      <sheetName val="찍기"/>
      <sheetName val="별표"/>
      <sheetName val="자재조사표"/>
      <sheetName val="설계흐름도"/>
      <sheetName val="TB-내역서"/>
      <sheetName val="영동(D)"/>
      <sheetName val="유기공정"/>
      <sheetName val="Sheet2"/>
      <sheetName val="소요자재"/>
      <sheetName val="노무산출서"/>
      <sheetName val="6호기"/>
      <sheetName val="일위대가표"/>
      <sheetName val="6PILE  (돌출)"/>
      <sheetName val="시설일위"/>
      <sheetName val="식재수량표"/>
      <sheetName val="식재일위"/>
      <sheetName val="와동25-3(변경)"/>
      <sheetName val="적용률"/>
      <sheetName val="해외법인"/>
      <sheetName val="금융비용"/>
      <sheetName val="터널조도"/>
      <sheetName val="공문(신)"/>
      <sheetName val="L-type"/>
      <sheetName val="수량산출"/>
      <sheetName val="발생토"/>
      <sheetName val="마감사양"/>
      <sheetName val="D-3109"/>
      <sheetName val="ABUT수량-A1"/>
      <sheetName val="1.취수장"/>
      <sheetName val="견적대비표"/>
      <sheetName val="연돌일위집계"/>
      <sheetName val="S1"/>
      <sheetName val="용수간선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장비투입 (2)"/>
      <sheetName val="간선계산"/>
      <sheetName val="Pier 3"/>
      <sheetName val="1호맨홀토공"/>
      <sheetName val="신천교(음성)"/>
      <sheetName val="정렬"/>
      <sheetName val="관로토공"/>
      <sheetName val="JUCK"/>
      <sheetName val="일년TOTAL"/>
      <sheetName val="현장지지물물량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2"/>
      <sheetName val="일위대가목차"/>
      <sheetName val="기성금내역서"/>
      <sheetName val="자바라1"/>
      <sheetName val="해외 연수비용 계산-삭제"/>
      <sheetName val="해외 기술훈련비 (합계)"/>
      <sheetName val="수목단가"/>
      <sheetName val="시설수량표"/>
      <sheetName val="2000년1차"/>
      <sheetName val="중기일위대가"/>
      <sheetName val="2006납품"/>
      <sheetName val="표준건축비"/>
      <sheetName val="3련 BOX"/>
      <sheetName val="결재갑지"/>
      <sheetName val="일위대가(건축)"/>
      <sheetName val="수정2"/>
      <sheetName val="계수시트"/>
      <sheetName val="공내역서"/>
      <sheetName val="단위중기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배명(단가)"/>
      <sheetName val="12호기내역서(건축분)"/>
      <sheetName val="기성집계"/>
      <sheetName val="옹벽(수량)"/>
      <sheetName val="결과조달"/>
      <sheetName val="Sheet6"/>
      <sheetName val="Sheet4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조건표"/>
      <sheetName val="암거날개벽"/>
      <sheetName val="옹벽수량집계"/>
      <sheetName val="1SPAN"/>
      <sheetName val="품셈TABLE"/>
      <sheetName val="전체"/>
      <sheetName val="BOX(1.5X1.5)"/>
      <sheetName val="철거산출근거"/>
      <sheetName val="기초"/>
      <sheetName val="U-TYPE(1)"/>
      <sheetName val="맨홀토공산출"/>
      <sheetName val="부도어음"/>
      <sheetName val="골조시행"/>
      <sheetName val="7-3단면_상시"/>
      <sheetName val="FORM-0"/>
      <sheetName val="수량집계표"/>
      <sheetName val="공종별수량집계"/>
      <sheetName val="영업2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적용단가"/>
      <sheetName val="TYPE A"/>
      <sheetName val="기둥(원형)"/>
      <sheetName val="기초단가"/>
      <sheetName val="Baby일위대가"/>
      <sheetName val="을"/>
      <sheetName val="T기성9605"/>
      <sheetName val="외자배분"/>
      <sheetName val="외자내역"/>
      <sheetName val="DANGA"/>
      <sheetName val="전기일위대가"/>
      <sheetName val="1안98Billing"/>
      <sheetName val="시설물일위"/>
      <sheetName val="K55수출"/>
      <sheetName val="c_balju"/>
      <sheetName val="구성비"/>
      <sheetName val="기경집계"/>
      <sheetName val="2000년 공정표"/>
      <sheetName val="WEON"/>
      <sheetName val="단가산출1"/>
      <sheetName val="단가산출2"/>
      <sheetName val="신림자금"/>
      <sheetName val="매립"/>
      <sheetName val="국공유지및사유지"/>
      <sheetName val="방송(체육관)"/>
      <sheetName val="예산총괄표"/>
      <sheetName val="목표세부명세"/>
      <sheetName val="설비원가"/>
      <sheetName val="산출내역서집계표"/>
      <sheetName val="날개벽수량표"/>
      <sheetName val="장문교(대전)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1.설계조건"/>
      <sheetName val="CC16-내역서"/>
      <sheetName val="1ST"/>
      <sheetName val="선로정수계산"/>
      <sheetName val="5사남"/>
      <sheetName val="설계기준"/>
      <sheetName val="Total"/>
      <sheetName val="1공구 건정토건 토공"/>
      <sheetName val="식재"/>
      <sheetName val="시설물"/>
      <sheetName val="식재출력용"/>
      <sheetName val="유지관리"/>
      <sheetName val="포장물량집계"/>
      <sheetName val="L형옹벽단위수량(35)"/>
      <sheetName val="L형옹벽단위수량(25)"/>
      <sheetName val="광산내역"/>
      <sheetName val="단기차입금"/>
      <sheetName val="일위대가(가설)"/>
      <sheetName val="유림골조"/>
      <sheetName val="투자효율분석"/>
      <sheetName val="설계명세서"/>
      <sheetName val="간접1"/>
      <sheetName val="수량명세서"/>
      <sheetName val="실시공"/>
      <sheetName val="기성내역"/>
      <sheetName val="F4-F7"/>
      <sheetName val="입찰내역"/>
      <sheetName val="9"/>
      <sheetName val="#10거푸집유로폼(0~7m)"/>
      <sheetName val="상부하중"/>
      <sheetName val="풍하중1"/>
      <sheetName val="경영상태"/>
      <sheetName val="96까지"/>
      <sheetName val="97년"/>
      <sheetName val="98이후"/>
      <sheetName val="공사내역"/>
      <sheetName val="메서,변+증"/>
      <sheetName val="건축"/>
      <sheetName val="C &amp; G RHS"/>
      <sheetName val="기지국"/>
      <sheetName val="수문보고"/>
      <sheetName val="날개벽(시점좌측)"/>
      <sheetName val="참조"/>
      <sheetName val="교대시점"/>
      <sheetName val="비탈면보호공수량산출"/>
      <sheetName val="변경내역"/>
      <sheetName val="L_type"/>
      <sheetName val="WEIGHT LIST"/>
      <sheetName val="POL6차-PIPING"/>
      <sheetName val="산#2-1 (2)"/>
      <sheetName val="산#3-1"/>
      <sheetName val="시멘트"/>
      <sheetName val="음료실행"/>
      <sheetName val="COVER"/>
      <sheetName val="°©Áö"/>
      <sheetName val="교각계산"/>
      <sheetName val="원가1(기계)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부대내역"/>
      <sheetName val="Man Hole"/>
      <sheetName val="TYPE-A"/>
      <sheetName val="간지"/>
      <sheetName val="품셈기준"/>
      <sheetName val="수리결과"/>
      <sheetName val="단위수량"/>
      <sheetName val="차도조도계산"/>
      <sheetName val="조명율표"/>
      <sheetName val="공통비(전체)"/>
      <sheetName val="토목-물가"/>
      <sheetName val="재료"/>
      <sheetName val="예정(3)"/>
      <sheetName val="동원(3)"/>
      <sheetName val="견적"/>
      <sheetName val="jobhist"/>
      <sheetName val="조내역"/>
      <sheetName val="건축공사요약표"/>
      <sheetName val="집계내역서(가압장)"/>
      <sheetName val="흐름도"/>
      <sheetName val="5.3 단면가정"/>
      <sheetName val="수질정화시설"/>
      <sheetName val="물량표"/>
      <sheetName val="설계서"/>
      <sheetName val="증감대비"/>
      <sheetName val="변경원가서갑"/>
      <sheetName val="CON포장수량"/>
      <sheetName val="ACUNIT"/>
      <sheetName val="CONUNIT"/>
      <sheetName val="포장공"/>
      <sheetName val="공사비증감"/>
      <sheetName val="토공산출(주차장)"/>
      <sheetName val="신우"/>
      <sheetName val="과천MAIN"/>
      <sheetName val="은행"/>
      <sheetName val="예가대비"/>
      <sheetName val="설산1.나"/>
      <sheetName val="본사S"/>
      <sheetName val="철근단면적"/>
      <sheetName val="원가계산"/>
      <sheetName val="원가계산서(남측)"/>
      <sheetName val="일위대가(계측기설치)"/>
      <sheetName val="Process Piping"/>
      <sheetName val="BQ(실행)"/>
      <sheetName val="SPEC"/>
      <sheetName val="DC-2303"/>
      <sheetName val="O＆P"/>
      <sheetName val="결재판(삭제하지말아주세요)"/>
      <sheetName val="설비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CAL"/>
      <sheetName val="FAB별"/>
      <sheetName val="총괄"/>
      <sheetName val="개산공사비"/>
      <sheetName val="증가분"/>
      <sheetName val="증가수정"/>
      <sheetName val="문의사항"/>
      <sheetName val="수수료율표"/>
      <sheetName val="성곽내역서"/>
      <sheetName val="Raw Data"/>
      <sheetName val="화전내"/>
      <sheetName val="2000용수잠관-수량집계"/>
      <sheetName val="STRA2"/>
      <sheetName val="전라자금"/>
      <sheetName val="9509"/>
      <sheetName val="일반공사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수량산출서-2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소비자가"/>
      <sheetName val="도장수량(하1)"/>
      <sheetName val="주형"/>
      <sheetName val="산출서양식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내역서"/>
      <sheetName val="내역(설계)"/>
      <sheetName val="설 계"/>
      <sheetName val="추풍최종"/>
      <sheetName val="차액보증"/>
      <sheetName val="단가"/>
      <sheetName val="점수계산1-2"/>
      <sheetName val="INPUT"/>
      <sheetName val="45,46"/>
      <sheetName val="전기"/>
      <sheetName val="일위대가(가설)"/>
      <sheetName val="양수장(기계)"/>
      <sheetName val="7.가스"/>
      <sheetName val="청천내"/>
      <sheetName val="ABUT수량-A1"/>
      <sheetName val="전계가"/>
      <sheetName val="EACT10"/>
      <sheetName val="갑지"/>
      <sheetName val="횡배수관토공수량"/>
      <sheetName val="3F"/>
      <sheetName val="표지"/>
      <sheetName val="단가표"/>
      <sheetName val="품셈TABLE"/>
      <sheetName val="시멘트"/>
      <sheetName val="교통대책내역"/>
      <sheetName val="개요"/>
      <sheetName val="A-4"/>
      <sheetName val="공사비집계"/>
      <sheetName val="MEXICO-C"/>
      <sheetName val="준검 내역서"/>
      <sheetName val="기본DATA"/>
      <sheetName val="지급자재"/>
      <sheetName val="취수탑"/>
      <sheetName val="토공실행"/>
      <sheetName val="일위대가(계측기설치)"/>
      <sheetName val="노임"/>
      <sheetName val="도급"/>
      <sheetName val="2000년하반기"/>
      <sheetName val="Sheet5"/>
      <sheetName val="기초자료(x)"/>
      <sheetName val="2000년1차"/>
      <sheetName val="2000전체분"/>
      <sheetName val="설계"/>
      <sheetName val="원본"/>
      <sheetName val="BSD (2)"/>
      <sheetName val="공문"/>
      <sheetName val="내역"/>
      <sheetName val="반중력식옹벽"/>
      <sheetName val="건축내역"/>
      <sheetName val="기계내역"/>
      <sheetName val="전신환매도율"/>
      <sheetName val="BID"/>
      <sheetName val="ASP포장"/>
      <sheetName val="통합"/>
      <sheetName val="조명율표"/>
      <sheetName val="DC-O-4-S(설명서)"/>
      <sheetName val="예산변경사항"/>
      <sheetName val="단가(반정1교-원주)"/>
      <sheetName val="슬래브"/>
      <sheetName val="1호맨홀토공"/>
      <sheetName val="원가"/>
      <sheetName val="내역표지"/>
      <sheetName val="G.R300경비"/>
      <sheetName val="공사내역"/>
      <sheetName val="단면 (2)"/>
      <sheetName val="1.취수장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98수문일위"/>
      <sheetName val="국공유지및사유지"/>
      <sheetName val="낙찰표"/>
      <sheetName val="APT"/>
      <sheetName val="부속동"/>
      <sheetName val="본관"/>
      <sheetName val="4)유동표"/>
      <sheetName val="부대내역"/>
      <sheetName val="일위대가"/>
      <sheetName val="구조물공"/>
      <sheetName val="배수공"/>
      <sheetName val="부대공"/>
      <sheetName val="토공"/>
      <sheetName val="포장공"/>
      <sheetName val="단면"/>
      <sheetName val="총공사내역서"/>
      <sheetName val="관급"/>
      <sheetName val="D-3109"/>
      <sheetName val="인건비"/>
      <sheetName val="현경"/>
      <sheetName val="물량집계"/>
      <sheetName val="현장"/>
      <sheetName val="관개"/>
      <sheetName val="danga"/>
      <sheetName val="ilch"/>
      <sheetName val="예산변경원인분석"/>
      <sheetName val="양수장내역"/>
      <sheetName val="별표집계"/>
      <sheetName val="EQUIPMENT -2"/>
      <sheetName val="말뚝기초"/>
      <sheetName val="일위대가표"/>
      <sheetName val="노무비"/>
      <sheetName val="Sheet2"/>
      <sheetName val="수량이동"/>
      <sheetName val="옹벽철근"/>
      <sheetName val="청산공사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차선도색현황"/>
      <sheetName val="남양내역"/>
      <sheetName val="3.공통공사대비"/>
      <sheetName val="장비"/>
      <sheetName val="산근1"/>
      <sheetName val="노무"/>
      <sheetName val="자재"/>
      <sheetName val="단가산출"/>
      <sheetName val="설계예산서"/>
      <sheetName val="설계개요"/>
      <sheetName val="전신"/>
      <sheetName val="직공비"/>
      <sheetName val="Macro1"/>
      <sheetName val="부안일위"/>
      <sheetName val="토목주소"/>
      <sheetName val="프랜트면허"/>
      <sheetName val="C1ㅇ"/>
      <sheetName val="제수"/>
      <sheetName val="공기"/>
      <sheetName val="송라터널총괄"/>
      <sheetName val="매원개착터널총괄"/>
      <sheetName val="SG"/>
      <sheetName val="이방변동"/>
      <sheetName val="AIR SHOWER(3인용)"/>
      <sheetName val="간접1"/>
      <sheetName val="ITEM"/>
      <sheetName val="1.설계조건"/>
      <sheetName val="IMPEADENCE MAP 취수장"/>
      <sheetName val="경상비"/>
      <sheetName val="현장관리비 산출내역"/>
      <sheetName val="접지수량"/>
      <sheetName val="토사(PE)"/>
      <sheetName val="2.대외공문"/>
      <sheetName val="인사자료총집계"/>
      <sheetName val="갑지1"/>
      <sheetName val="주방환기"/>
      <sheetName val="견적대비"/>
      <sheetName val="직노"/>
      <sheetName val="정부노임단가"/>
      <sheetName val="guard(mac)"/>
      <sheetName val="Apt내역"/>
      <sheetName val="금액"/>
      <sheetName val="기초1"/>
      <sheetName val="Sheet17"/>
      <sheetName val="주상도"/>
      <sheetName val="을"/>
      <sheetName val="노임이"/>
      <sheetName val="좌측"/>
      <sheetName val="산출내역서집계표"/>
      <sheetName val="대전-교대(A1-A2)"/>
      <sheetName val="토공사"/>
      <sheetName val="공사비예산서(토목분)"/>
      <sheetName val="하수실행"/>
      <sheetName val="Sheet1 (2)"/>
      <sheetName val="DATE"/>
      <sheetName val="부대시설"/>
      <sheetName val="#REF"/>
      <sheetName val="기초입력"/>
      <sheetName val="견적서"/>
      <sheetName val="XL4Poppy"/>
      <sheetName val="식재총괄"/>
      <sheetName val="공사개요"/>
      <sheetName val="배수통관토공수량"/>
      <sheetName val="DATA 입력란"/>
      <sheetName val="1. 설계조건 2.단면가정 3. 하중계산"/>
      <sheetName val="기기리스트"/>
      <sheetName val="정보"/>
      <sheetName val="수량산출"/>
      <sheetName val="중기손료"/>
      <sheetName val="실행내역서 "/>
      <sheetName val="입출재고현황 _2_"/>
      <sheetName val="총내역서"/>
      <sheetName val="교량전기"/>
      <sheetName val="기초자료"/>
      <sheetName val="자압"/>
      <sheetName val="별표"/>
      <sheetName val="자재조사표"/>
      <sheetName val="지질조사"/>
      <sheetName val="자동제어"/>
      <sheetName val="토목"/>
      <sheetName val="준공시전망_원본"/>
      <sheetName val="DATA"/>
      <sheetName val="실행철강하도"/>
      <sheetName val="물량표"/>
      <sheetName val="소방사항"/>
      <sheetName val="EJ"/>
      <sheetName val="단가일람표"/>
      <sheetName val="처리현황"/>
      <sheetName val="학생내역"/>
      <sheetName val="집계표"/>
      <sheetName val="원가계산서"/>
      <sheetName val="을지"/>
      <sheetName val="총괄표"/>
      <sheetName val="양수장기계"/>
      <sheetName val="JUCKEYK"/>
      <sheetName val="변경후-SHEET"/>
      <sheetName val="품셈총괄표"/>
      <sheetName val="위치조서"/>
      <sheetName val="대비"/>
      <sheetName val="sw1"/>
      <sheetName val="NOMUBI"/>
      <sheetName val="MAT"/>
      <sheetName val="98비정기소모"/>
      <sheetName val="계산중"/>
      <sheetName val="횡배위치"/>
      <sheetName val="6호기"/>
      <sheetName val="일반공사"/>
      <sheetName val="하수급견적대비"/>
      <sheetName val="설계내역서"/>
      <sheetName val="401"/>
      <sheetName val="가설공사내역"/>
      <sheetName val="8S발주관리대장"/>
      <sheetName val="흄관기초"/>
      <sheetName val="MOTOR"/>
      <sheetName val="품셈(기초)"/>
      <sheetName val="전차선로 물량표"/>
      <sheetName val="실행대비"/>
      <sheetName val="환율change"/>
      <sheetName val="단가 및 재료비"/>
      <sheetName val="설계명세서"/>
      <sheetName val="단위수량(출력X)"/>
      <sheetName val="수량집계"/>
      <sheetName val="MCC제원"/>
      <sheetName val="단가대비표"/>
      <sheetName val="내역서단가산출용"/>
      <sheetName val="Total"/>
      <sheetName val="부대공사비"/>
      <sheetName val="날개벽수량표"/>
      <sheetName val="하조서"/>
      <sheetName val="내역서 "/>
      <sheetName val="매입세"/>
      <sheetName val="FURNITURE-01"/>
      <sheetName val="총괄내역서"/>
      <sheetName val="시화점실행"/>
      <sheetName val="Requirement(Work Crew)"/>
      <sheetName val="옥외"/>
      <sheetName val="구의33고"/>
      <sheetName val="수량산출서"/>
      <sheetName val="차수"/>
      <sheetName val="산근"/>
      <sheetName val="원가계산(2)"/>
      <sheetName val="제철"/>
      <sheetName val="Sheet10"/>
      <sheetName val="건축집계"/>
      <sheetName val="가도공"/>
      <sheetName val="용소리교"/>
      <sheetName val="배수통관(좌)"/>
      <sheetName val="견"/>
      <sheetName val="Y-WORK"/>
      <sheetName val="포장공사"/>
      <sheetName val="일위대가목차"/>
      <sheetName val="8.PILE  (돌출)"/>
      <sheetName val="날개벽"/>
      <sheetName val="일위대가_계측기설치_"/>
      <sheetName val="I一般比"/>
      <sheetName val="교각1"/>
      <sheetName val="1월"/>
      <sheetName val="배방교"/>
      <sheetName val="단가조사"/>
      <sheetName val="입찰보고"/>
      <sheetName val="97년추정손익계산서"/>
      <sheetName val="수정시산표"/>
      <sheetName val="취합표"/>
      <sheetName val="물량산출"/>
      <sheetName val="자료"/>
      <sheetName val="노임단가"/>
      <sheetName val="실행"/>
      <sheetName val="TEBAK2"/>
      <sheetName val="구미"/>
      <sheetName val="철거산출근거"/>
      <sheetName val="도급원가"/>
      <sheetName val="2공구산출내역"/>
      <sheetName val="실행내역"/>
      <sheetName val="CODE"/>
      <sheetName val="현금"/>
      <sheetName val="계약내역서(을지)"/>
      <sheetName val="데리네이타현황"/>
      <sheetName val="PAINT"/>
      <sheetName val="200"/>
      <sheetName val="품셈표"/>
      <sheetName val="내역서1"/>
      <sheetName val="일위집계표"/>
      <sheetName val="산출"/>
      <sheetName val="FACTOR"/>
      <sheetName val="수입"/>
      <sheetName val="s"/>
      <sheetName val="ETC"/>
      <sheetName val="물량"/>
      <sheetName val="2_대외공문"/>
      <sheetName val="대목"/>
      <sheetName val="NYS"/>
      <sheetName val="금액내역서"/>
      <sheetName val="집계"/>
      <sheetName val="납부서"/>
      <sheetName val="sort"/>
      <sheetName val="BLOCK(1)"/>
      <sheetName val="인부신상자료"/>
      <sheetName val="단가산출1"/>
      <sheetName val="지장물C"/>
      <sheetName val="LEGEND"/>
      <sheetName val="견적대비표"/>
      <sheetName val="L_RPTB02_01"/>
      <sheetName val="전화번호DATA (2001)"/>
      <sheetName val="현장별"/>
      <sheetName val="SLAB"/>
      <sheetName val="역T형"/>
      <sheetName val="보도공제면적"/>
      <sheetName val="내역(전체)"/>
      <sheetName val="계약ITEM"/>
      <sheetName val="매입세율"/>
      <sheetName val="한일양산"/>
      <sheetName val="000000"/>
      <sheetName val="투찰가"/>
      <sheetName val="신기1-LINE별연장"/>
      <sheetName val="S0"/>
      <sheetName val="단면가정"/>
      <sheetName val="2003년내역"/>
      <sheetName val="현대물량"/>
      <sheetName val="견적을지"/>
      <sheetName val="CTEMCOST"/>
      <sheetName val="상가지급현황"/>
      <sheetName val="tggwan(mac)"/>
      <sheetName val="정렬"/>
      <sheetName val="9GNG운반"/>
      <sheetName val="연결임시"/>
      <sheetName val="TEST1"/>
      <sheetName val="다이꾸"/>
      <sheetName val="unit 4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토공(우물통,기타) "/>
      <sheetName val="잡비"/>
      <sheetName val="GAEYO"/>
      <sheetName val="4-3 보온 기본물량집계"/>
      <sheetName val="간접경상비"/>
      <sheetName val="SUMMARY"/>
      <sheetName val="AC포장수량"/>
      <sheetName val="간선계산"/>
      <sheetName val="일위"/>
      <sheetName val="기둥(원형)"/>
      <sheetName val="내역서(총괄)"/>
      <sheetName val="손익현황"/>
      <sheetName val="이름정의"/>
      <sheetName val="계화배수"/>
      <sheetName val="단가비교"/>
      <sheetName val="중기가동(7)"/>
      <sheetName val="MAIN_TABLE"/>
      <sheetName val="단가조건(02년)"/>
      <sheetName val="D25"/>
      <sheetName val="D16"/>
      <sheetName val="D22"/>
      <sheetName val="c_balju"/>
      <sheetName val="부표총괄"/>
      <sheetName val="여흥"/>
      <sheetName val="단가산출서"/>
      <sheetName val="자금청구(건축)"/>
      <sheetName val="설계조건"/>
      <sheetName val="안정계산"/>
      <sheetName val="단면검토"/>
      <sheetName val="총집계표"/>
      <sheetName val="당초수량"/>
      <sheetName val="전체도급"/>
      <sheetName val="최종견"/>
      <sheetName val="건축-물가변동"/>
      <sheetName val="기계설비-물가변동"/>
      <sheetName val="공통비배부기준"/>
      <sheetName val="#3_일위대가목록"/>
      <sheetName val="공사비SUM"/>
      <sheetName val=" ｹ-ﾌﾞﾙ"/>
      <sheetName val="전선"/>
      <sheetName val="6PILE  (돌출)"/>
      <sheetName val="Customer Databas"/>
      <sheetName val="투찰(하수)"/>
      <sheetName val="제경비"/>
      <sheetName val="재료"/>
      <sheetName val="판"/>
      <sheetName val="수습"/>
      <sheetName val="주관사업"/>
      <sheetName val="변경별표"/>
      <sheetName val="터파기및재료"/>
      <sheetName val="변경집계표"/>
      <sheetName val="건축"/>
      <sheetName val="SIL98"/>
      <sheetName val="TYPE-A"/>
      <sheetName val="유림골조"/>
      <sheetName val="전기일위대가"/>
      <sheetName val="C_d"/>
      <sheetName val="1.전력공사"/>
      <sheetName val="8.DC"/>
      <sheetName val="3.전열"/>
      <sheetName val="2.조명제어"/>
      <sheetName val="국내조달(통합-1)"/>
      <sheetName val="기본사항"/>
      <sheetName val="INPUT-DATA"/>
      <sheetName val="갑지(추정)"/>
      <sheetName val="총괄"/>
      <sheetName val="현장관리비참조"/>
      <sheetName val="조명시설"/>
      <sheetName val="배선(낙차)"/>
      <sheetName val="선반OPT"/>
      <sheetName val="YM-IL1"/>
      <sheetName val="제경비율"/>
      <sheetName val="예총"/>
      <sheetName val="수곡내역"/>
      <sheetName val="품셈"/>
      <sheetName val="첨부파일"/>
      <sheetName val="98지급계획"/>
      <sheetName val="woo(mac)"/>
      <sheetName val="내역및총괄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경비"/>
      <sheetName val="DS적용내역서"/>
      <sheetName val="찍기"/>
      <sheetName val="경성자금"/>
      <sheetName val="에너지동"/>
      <sheetName val="상각율"/>
      <sheetName val="실행(1)"/>
      <sheetName val="옥외배관기본공량"/>
      <sheetName val="설비공사"/>
      <sheetName val="부대공(BOQ)"/>
      <sheetName val="간접비"/>
      <sheetName val="예가표"/>
      <sheetName val="조건표"/>
      <sheetName val="SULKEA"/>
      <sheetName val="플랜트 설치"/>
      <sheetName val="과단위"/>
      <sheetName val="투찰"/>
      <sheetName val="1-1"/>
      <sheetName val="보고서"/>
      <sheetName val="A"/>
      <sheetName val="적용토목"/>
      <sheetName val="7월11일"/>
      <sheetName val="건축공사실행"/>
      <sheetName val="도급내역(20061공구)"/>
      <sheetName val="약품공급2"/>
      <sheetName val="원도급내역"/>
      <sheetName val="단중표"/>
      <sheetName val="빙축열내역대비입고현황"/>
      <sheetName val="방배동내역(리라)"/>
      <sheetName val="부대공사총괄"/>
      <sheetName val="현장경비"/>
      <sheetName val="건축공사집계표"/>
      <sheetName val="부하계산서"/>
      <sheetName val="계산서"/>
      <sheetName val="감독1130"/>
      <sheetName val="일위대가-1"/>
      <sheetName val="건축설비내역"/>
      <sheetName val="횡날개수집"/>
      <sheetName val="광혁기성"/>
      <sheetName val="신표지1"/>
      <sheetName val="실행기성 갑지"/>
      <sheetName val="말뚝물량"/>
      <sheetName val="영동(D)"/>
      <sheetName val="월별수입"/>
      <sheetName val="평3"/>
      <sheetName val="기본단가"/>
      <sheetName val="추가예산"/>
      <sheetName val="새공통"/>
      <sheetName val="자재단가"/>
      <sheetName val="PI"/>
      <sheetName val="WEIGHT LIST"/>
      <sheetName val="산#2-1 (2)"/>
      <sheetName val="POL6차-PIPING"/>
      <sheetName val="산#3-1"/>
      <sheetName val="WORK"/>
      <sheetName val="9902"/>
      <sheetName val="예산내역"/>
      <sheetName val="양수장_기계_"/>
      <sheetName val="ELECTRIC"/>
      <sheetName val="SCHEDULE"/>
      <sheetName val="99총공사내역서"/>
      <sheetName val="Baby일위대가"/>
      <sheetName val="전문품의"/>
      <sheetName val="우배수"/>
      <sheetName val="내역(2000년)"/>
      <sheetName val="3차토목내역"/>
      <sheetName val="발파유용(3)"/>
      <sheetName val="기흥하도용"/>
      <sheetName val="7.전산해석결과"/>
      <sheetName val="4.하중"/>
      <sheetName val="우각부검토"/>
      <sheetName val="이자율"/>
      <sheetName val="경산"/>
      <sheetName val="적용단가"/>
      <sheetName val="조경일람"/>
      <sheetName val="쌍송교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운반비"/>
      <sheetName val="부대대비"/>
      <sheetName val="냉연집계"/>
      <sheetName val="DAN"/>
      <sheetName val="공통부대비"/>
      <sheetName val="견적서(토공)"/>
      <sheetName val="총체보활공정표"/>
      <sheetName val="토적계산"/>
      <sheetName val="sh1"/>
      <sheetName val="일반설비내역서"/>
      <sheetName val="토공총괄표"/>
      <sheetName val="PIPE"/>
      <sheetName val="연습"/>
      <sheetName val="산3"/>
      <sheetName val="간접비계산"/>
      <sheetName val="별표 "/>
      <sheetName val="설치공사2"/>
      <sheetName val="준공조서갑지"/>
      <sheetName val="상부집계표"/>
      <sheetName val="일위목록"/>
      <sheetName val="별제권_정리담보권"/>
      <sheetName val="일위집계"/>
      <sheetName val="3_공통공사대비"/>
      <sheetName val="토목내역서 (도급단가) (2)"/>
      <sheetName val="제수변수량"/>
      <sheetName val="공기변수량"/>
      <sheetName val="구조물철거타공정이월"/>
      <sheetName val="수문일1"/>
      <sheetName val="종단계산"/>
      <sheetName val="공사개요(사업승인변경)"/>
      <sheetName val="3층LOAD"/>
      <sheetName val="1층LOAD"/>
      <sheetName val="귀래 설계 공내역서"/>
      <sheetName val="SLAB&quot;1&quot;"/>
      <sheetName val="간접"/>
      <sheetName val="견적990322"/>
      <sheetName val="아스팔트 포장총괄집계표"/>
      <sheetName val="Sheet4"/>
      <sheetName val="손익분석"/>
      <sheetName val="바닥판(1)"/>
      <sheetName val="기초코드"/>
      <sheetName val="3.3"/>
      <sheetName val="BUDAI"/>
      <sheetName val="경영상태"/>
      <sheetName val="archi(본사)"/>
      <sheetName val="개산공사비"/>
      <sheetName val="능률(기성)"/>
      <sheetName val="포장복구집계"/>
      <sheetName val="내역서-2"/>
      <sheetName val="방배동내역 (총괄)"/>
      <sheetName val="총괄집계 "/>
      <sheetName val="96보완계획7.12"/>
      <sheetName val="소야공정계획표"/>
      <sheetName val="기계내역서"/>
      <sheetName val="7.PILE  (돌출)"/>
      <sheetName val="choose"/>
      <sheetName val="단가목록"/>
      <sheetName val="검색"/>
      <sheetName val="요율"/>
      <sheetName val="wall"/>
      <sheetName val="조명일위"/>
      <sheetName val="저"/>
      <sheetName val="VENT"/>
      <sheetName val="약품설비"/>
      <sheetName val="업무처리전"/>
      <sheetName val=" 토목 처리장도급내역서 "/>
      <sheetName val="직접공사비집계표_7"/>
      <sheetName val="공통가설_8"/>
      <sheetName val="기타시설"/>
      <sheetName val="판매시설"/>
      <sheetName val="주민복지관"/>
      <sheetName val="지하주차장"/>
      <sheetName val="덕전리"/>
      <sheetName val="대로근거"/>
      <sheetName val="세부내역"/>
      <sheetName val="중기"/>
      <sheetName val="SUB일위대가"/>
      <sheetName val="b_balju"/>
      <sheetName val="사본 - b_balju"/>
      <sheetName val="현장관리비내역서"/>
      <sheetName val="DATA98"/>
      <sheetName val="목창호"/>
      <sheetName val="교량"/>
      <sheetName val="식재인부"/>
      <sheetName val="N賃率-職"/>
      <sheetName val="MSG 수량"/>
      <sheetName val="REDUCER"/>
      <sheetName val="WE'T"/>
      <sheetName val="공종목록표"/>
      <sheetName val="BEND LOSS"/>
      <sheetName val="시중노임단가"/>
      <sheetName val="주beam"/>
      <sheetName val="반중력식옹벽3.5"/>
      <sheetName val="중기일위대가"/>
      <sheetName val="수장"/>
      <sheetName val="SCH"/>
      <sheetName val="물량표(신)"/>
      <sheetName val="날개벽(좌,우=60도-4개)"/>
      <sheetName val="각종장비전압강하계산"/>
      <sheetName val="95MAKER"/>
      <sheetName val="발주현황"/>
      <sheetName val="청구"/>
      <sheetName val="총괄-1"/>
      <sheetName val="증감분석"/>
      <sheetName val="입찰내역서"/>
      <sheetName val="1안98Billing"/>
      <sheetName val="삼보지질"/>
      <sheetName val="뚝토공"/>
      <sheetName val="합천내역"/>
      <sheetName val="재료비단가(VALVE)"/>
      <sheetName val="지불내역1"/>
      <sheetName val="2.입력sheet"/>
      <sheetName val="환율"/>
      <sheetName val="FAX"/>
      <sheetName val="예정(3)"/>
      <sheetName val="스포회원매출"/>
      <sheetName val="SKETCH"/>
      <sheetName val="REINF."/>
      <sheetName val="LOADS"/>
      <sheetName val="CHECK1"/>
      <sheetName val="토적_x0000__x0000_"/>
      <sheetName val="부서코드표"/>
      <sheetName val="건축내역서"/>
      <sheetName val="6동"/>
      <sheetName val="골조"/>
      <sheetName val="보차도경계석"/>
      <sheetName val="부하(성남)"/>
      <sheetName val="증감대비"/>
      <sheetName val="맨홀토공(3)"/>
      <sheetName val="뜃맟뭁돽띿맟?-BLDG"/>
      <sheetName val="충주"/>
      <sheetName val="시가지우회도로공내역서"/>
      <sheetName val="각현장분석"/>
      <sheetName val="비탈면보호공수량산출"/>
      <sheetName val="(포장)BOQ-실적공사"/>
      <sheetName val="화해(함평)"/>
      <sheetName val="우수맨홀토공단위수량"/>
      <sheetName val="1.토공"/>
      <sheetName val="기성내역"/>
      <sheetName val="화해(장성)"/>
      <sheetName val="b_balju_cho"/>
      <sheetName val="현장관리비"/>
      <sheetName val="간이영수증"/>
      <sheetName val="현금흐름"/>
      <sheetName val="기초자료입력"/>
      <sheetName val="토목공사일반"/>
      <sheetName val="용지매수"/>
      <sheetName val="원형맨홀수량"/>
      <sheetName val="장비비"/>
      <sheetName val="지구단위계획"/>
      <sheetName val="열교환기"/>
      <sheetName val="0226"/>
      <sheetName val="문산방향-교대(A2)"/>
      <sheetName val="월별품의현황"/>
      <sheetName val="예산M2"/>
      <sheetName val="처리단락"/>
      <sheetName val="조건 (A)"/>
      <sheetName val="9-1차이내역"/>
      <sheetName val="고압"/>
      <sheetName val="자금청구"/>
      <sheetName val="공사설계서"/>
      <sheetName val="오억미만"/>
      <sheetName val="밸브설치"/>
      <sheetName val="광주운남을"/>
      <sheetName val="매립"/>
      <sheetName val="현장관리비_산출내역"/>
      <sheetName val="MixBed"/>
      <sheetName val="CondPol"/>
      <sheetName val="카메라"/>
      <sheetName val="순서도"/>
      <sheetName val="LD"/>
      <sheetName val="Option"/>
      <sheetName val="공정코드"/>
      <sheetName val="Ext. Stone-P"/>
      <sheetName val="12용지"/>
      <sheetName val="산출근거"/>
      <sheetName val="3BL공동구 수량"/>
      <sheetName val="활성탄 여과지토공"/>
      <sheetName val="내역서변경성원"/>
      <sheetName val="맨홀수량산출"/>
      <sheetName val="장비손료"/>
      <sheetName val="상 부"/>
      <sheetName val="입력DATA"/>
      <sheetName val="바닥판"/>
      <sheetName val="부대토목"/>
      <sheetName val="EL90"/>
      <sheetName val="성남여성복지내역"/>
      <sheetName val="참조 (2)"/>
      <sheetName val="단위세대물량"/>
      <sheetName val="DB"/>
      <sheetName val="산출2-기기동력"/>
      <sheetName val="시설일위"/>
      <sheetName val="Type(123)"/>
      <sheetName val="기자재집계"/>
      <sheetName val="플랜트"/>
      <sheetName val="현장목차"/>
      <sheetName val="제출내역 (2)"/>
      <sheetName val="목차"/>
      <sheetName val="직접경비"/>
      <sheetName val="기본단가표"/>
      <sheetName val="입력"/>
      <sheetName val="세골재  T2 변경 현황"/>
      <sheetName val="직재"/>
      <sheetName val="TRE TABLE"/>
      <sheetName val="구분자"/>
      <sheetName val="B부대공"/>
      <sheetName val="철근총괄"/>
      <sheetName val="가시설수량"/>
      <sheetName val="2.단면가정3.모델링4.하중"/>
      <sheetName val="동력부하계산"/>
      <sheetName val="하도급대비"/>
      <sheetName val="해운대V-B"/>
      <sheetName val="001"/>
      <sheetName val="공조기"/>
      <sheetName val="Macro2"/>
      <sheetName val="45_46"/>
      <sheetName val="1단계"/>
      <sheetName val="ⴭⴭⴭⴭ"/>
      <sheetName val="평균터파기고(1-2,ASP)"/>
      <sheetName val="아파트"/>
      <sheetName val="준공현장"/>
      <sheetName val="품목"/>
      <sheetName val="갑근세납세필증명원"/>
      <sheetName val="종합"/>
      <sheetName val="가시설(TYPE-A)"/>
      <sheetName val="1-1평균터파기고(1)"/>
      <sheetName val="자재단가비교표"/>
      <sheetName val="공통가설"/>
      <sheetName val="단-토공"/>
      <sheetName val="PROJECT BRIEF(EX.NEW)"/>
      <sheetName val="아파트_9"/>
      <sheetName val="기본자료"/>
      <sheetName val="단"/>
      <sheetName val="경비2내역"/>
      <sheetName val="계산내역(설비)"/>
      <sheetName val="광통신 견적내역서1"/>
      <sheetName val="TOT"/>
      <sheetName val="수안보-MBR1"/>
      <sheetName val="집수정(600-700)"/>
      <sheetName val="가설공사"/>
      <sheetName val="간접재료비산출표-27-30"/>
      <sheetName val="기계경비일람"/>
      <sheetName val="사전공사"/>
      <sheetName val="현황산출서"/>
      <sheetName val="말뚝지지력산정"/>
      <sheetName val="교대(A1)"/>
      <sheetName val="단위수량"/>
      <sheetName val="품목단가"/>
      <sheetName val="Sump,Pit,MH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개요"/>
      <sheetName val="Ext. Stone-P"/>
      <sheetName val="시화점실행"/>
      <sheetName val="FURNITURE-01"/>
      <sheetName val="천안IP공장자100노100물량110할증"/>
      <sheetName val="Sheet5"/>
      <sheetName val="토목주소"/>
      <sheetName val="프랜트면허"/>
      <sheetName val="플랜트 설치"/>
      <sheetName val="Girder"/>
      <sheetName val="공문"/>
      <sheetName val="입찰안"/>
      <sheetName val="INPUT"/>
      <sheetName val="BSD (2)"/>
      <sheetName val="정부노임단가"/>
      <sheetName val="인사자료총집계"/>
      <sheetName val="I一般比"/>
      <sheetName val="ETC"/>
      <sheetName val="갑지(추정)"/>
      <sheetName val="기본DATA"/>
      <sheetName val="#REF"/>
      <sheetName val="ITEM"/>
      <sheetName val="CAT_5"/>
      <sheetName val="DATE"/>
      <sheetName val="경제성분석"/>
      <sheetName val="공사개요"/>
      <sheetName val="매입세율"/>
      <sheetName val="광혁기성"/>
      <sheetName val="노임이"/>
      <sheetName val="갑지"/>
      <sheetName val="GAEYOXLS"/>
      <sheetName val="추가예산"/>
      <sheetName val="직노"/>
      <sheetName val="APT"/>
      <sheetName val="부속동"/>
      <sheetName val="제출견적(을)"/>
      <sheetName val="6호기"/>
      <sheetName val="집행갑지"/>
      <sheetName val="내역서"/>
      <sheetName val="Parts"/>
      <sheetName val="Menu A"/>
      <sheetName val="간접경상비"/>
      <sheetName val="갑지1"/>
      <sheetName val="일위대가"/>
      <sheetName val="FB25JN"/>
      <sheetName val="양수장(기계)"/>
      <sheetName val="SUMMARY"/>
      <sheetName val="PAINT"/>
      <sheetName val="소요자재"/>
      <sheetName val="노무산출서"/>
      <sheetName val="원부자재"/>
      <sheetName val="XZLC004_PART2"/>
      <sheetName val="예비품"/>
      <sheetName val="단가산출1"/>
      <sheetName val="BID"/>
      <sheetName val="식재총괄"/>
      <sheetName val="공정코드"/>
      <sheetName val="45,46"/>
      <sheetName val="기존"/>
      <sheetName val="설계조건"/>
      <sheetName val="데이타"/>
      <sheetName val="식재인부"/>
      <sheetName val="COMPOHP (2)"/>
      <sheetName val="적용률"/>
      <sheetName val="Y-WORK"/>
      <sheetName val="대리점판정"/>
      <sheetName val="ABUT수량-A1"/>
      <sheetName val="건축집계"/>
      <sheetName val="EQUIPMENT -2"/>
      <sheetName val="chitimc"/>
      <sheetName val="sw1"/>
      <sheetName val="NOMUBI"/>
      <sheetName val="기존단가 (2)"/>
      <sheetName val="입출재고현황 (2)"/>
      <sheetName val="설 계"/>
      <sheetName val="차액보증"/>
      <sheetName val="1공구산출내역서"/>
      <sheetName val="plan&amp;section of foundation"/>
      <sheetName val="design criteria"/>
      <sheetName val="목표세부명세"/>
      <sheetName val="Total"/>
      <sheetName val="포장복구집계"/>
      <sheetName val="전신환매도율"/>
      <sheetName val="원가계산"/>
      <sheetName val="PANEL"/>
      <sheetName val="Sheet1 (2)"/>
      <sheetName val="일위"/>
      <sheetName val="재료율"/>
      <sheetName val="9GNG운반"/>
      <sheetName val="연돌일위집계"/>
      <sheetName val="4)유동표"/>
      <sheetName val="잡비"/>
      <sheetName val="설계내역서"/>
      <sheetName val="코드"/>
      <sheetName val="콘크리트타설집계표"/>
      <sheetName val="횡배수관토공수량"/>
      <sheetName val="내역"/>
      <sheetName val="TOTAL1"/>
      <sheetName val="예산"/>
      <sheetName val="실행철강하도"/>
      <sheetName val="Curves"/>
      <sheetName val="Tables"/>
      <sheetName val="A-4"/>
      <sheetName val="노원열병합  건축공사기성내역서"/>
      <sheetName val="단위세대물량"/>
      <sheetName val="PROJECT BRIEF(EX.NEW)"/>
      <sheetName val="C_d"/>
      <sheetName val="을"/>
      <sheetName val="기존단가_(2)"/>
      <sheetName val="Ext__Stone-P"/>
      <sheetName val="플랜트_설치"/>
      <sheetName val="BSD_(2)"/>
      <sheetName val="Menu_A"/>
      <sheetName val="연부97-1"/>
      <sheetName val="실행내역서 "/>
      <sheetName val="연습"/>
      <sheetName val="일반부표"/>
      <sheetName val="BSD _2_"/>
      <sheetName val="EJ"/>
      <sheetName val="6동"/>
      <sheetName val="기안지"/>
      <sheetName val="업무분장"/>
      <sheetName val="N賃率-職"/>
      <sheetName val="가압장(토목)"/>
      <sheetName val="품종별-이름"/>
      <sheetName val="품셈TABLE"/>
      <sheetName val="청천내"/>
      <sheetName val="전계가"/>
      <sheetName val="집계표"/>
      <sheetName val="금액"/>
      <sheetName val="금융"/>
      <sheetName val="위치조서"/>
      <sheetName val="220 (2)"/>
      <sheetName val="견적서"/>
      <sheetName val="산출내역서집계표"/>
      <sheetName val="배수내역 (2)"/>
      <sheetName val="빗물받이(910-510-410)"/>
      <sheetName val="Raw Data"/>
      <sheetName val="교통대책내역"/>
      <sheetName val="Customer Databas"/>
      <sheetName val="기흥하도용"/>
      <sheetName val="DATA"/>
      <sheetName val="소방사항"/>
      <sheetName val="산#3-2-2"/>
      <sheetName val="시멘트"/>
      <sheetName val="XZLC003_PART1"/>
      <sheetName val="공통가설"/>
      <sheetName val="견"/>
      <sheetName val="일위대가표"/>
      <sheetName val="1.취수장"/>
      <sheetName val="01"/>
      <sheetName val="원본"/>
      <sheetName val="날개벽수량표"/>
      <sheetName val="심의위원명단"/>
      <sheetName val="7월11일"/>
      <sheetName val="별표집계"/>
      <sheetName val="말뚝물량"/>
      <sheetName val="마산월령동골조물량변경"/>
      <sheetName val="상반기손익차2총괄"/>
      <sheetName val="평균터파기고(1-2,ASP)"/>
      <sheetName val="VLOOKUP"/>
      <sheetName val="cal-foamglass"/>
      <sheetName val="BQ List"/>
      <sheetName val="PipWT"/>
      <sheetName val="TTL"/>
      <sheetName val="7-2"/>
      <sheetName val="F-302"/>
      <sheetName val="F301.303"/>
      <sheetName val="공사설계서"/>
      <sheetName val="실행내역"/>
      <sheetName val="_REF"/>
      <sheetName val="1층"/>
      <sheetName val="STAND20"/>
      <sheetName val="견적을지"/>
      <sheetName val="수입"/>
      <sheetName val="명세서"/>
      <sheetName val="낙찰표"/>
      <sheetName val="일반설비내역서"/>
      <sheetName val="EACT10"/>
      <sheetName val="자재단가"/>
      <sheetName val="ASP"/>
      <sheetName val="IMPEADENCE MAP 취수장"/>
      <sheetName val="터파기및재료"/>
      <sheetName val="표지"/>
      <sheetName val="전차선로 물량표"/>
      <sheetName val="PIPE(UG)내역"/>
      <sheetName val="Lr"/>
      <sheetName val="점수계산1-2"/>
      <sheetName val="NYS"/>
      <sheetName val="노무비"/>
      <sheetName val="내역 누락분 수량산출서"/>
      <sheetName val="Sheet4"/>
      <sheetName val="COVER-P"/>
      <sheetName val="HW일위"/>
      <sheetName val="VENT"/>
      <sheetName val="단가산출"/>
      <sheetName val="다곡2교"/>
      <sheetName val="부대공Ⅱ"/>
      <sheetName val="70%"/>
      <sheetName val="방수"/>
      <sheetName val="DB"/>
      <sheetName val="sheet1"/>
      <sheetName val="처리단락"/>
      <sheetName val="입찰보고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LD"/>
      <sheetName val="소비자가"/>
      <sheetName val="cal"/>
      <sheetName val="견적대비 견적서"/>
      <sheetName val="도급"/>
      <sheetName val="EQUIP LIST"/>
      <sheetName val="Note"/>
      <sheetName val="Heads"/>
      <sheetName val="Page 2"/>
      <sheetName val="Dbase"/>
      <sheetName val="가설공사"/>
      <sheetName val="VXXXXX"/>
      <sheetName val=" 갑지"/>
      <sheetName val="EXCHANGER-BEAM1"/>
      <sheetName val="EXCHANGER-COM"/>
      <sheetName val="EXCHANGER"/>
      <sheetName val="EXCHANGER-BEAM2"/>
      <sheetName val="원가계산서"/>
      <sheetName val="설계변경내역서"/>
      <sheetName val="경비"/>
      <sheetName val="총괄내역서"/>
      <sheetName val="날개½_x0000_뜀표"/>
      <sheetName val="단가대비표"/>
      <sheetName val="단가"/>
      <sheetName val="매립"/>
      <sheetName val="D-경비1"/>
      <sheetName val="건축내역"/>
      <sheetName val="9609추"/>
      <sheetName val="총원"/>
      <sheetName val="소요자재명세서"/>
      <sheetName val="노무비명세서"/>
      <sheetName val="CTEMCOST"/>
      <sheetName val="수전기기DATA"/>
      <sheetName val="약품설비"/>
      <sheetName val="방배동내역(리라)"/>
      <sheetName val="부대공사총괄"/>
      <sheetName val="현장경비"/>
      <sheetName val="건축공사집계표"/>
      <sheetName val="종단계산"/>
      <sheetName val="200"/>
      <sheetName val="열린교실"/>
      <sheetName val="Ext__Stone-P1"/>
      <sheetName val="플랜트_설치1"/>
      <sheetName val="BSD_(2)1"/>
      <sheetName val="Menu_A1"/>
      <sheetName val="기존단가_(2)1"/>
      <sheetName val="COMPOHP_(2)"/>
      <sheetName val="plan&amp;section_of_foundation"/>
      <sheetName val="design_criteria"/>
      <sheetName val="EQUIPMENT_-2"/>
      <sheetName val="입출재고현황_(2)"/>
      <sheetName val="설_계"/>
      <sheetName val="Sheet1_(2)"/>
      <sheetName val="노원열병합__건축공사기성내역서"/>
      <sheetName val="PROJECT_BRIEF(EX_NEW)"/>
      <sheetName val="실행내역서_"/>
      <sheetName val="BSD__2_"/>
      <sheetName val="Customer_Databas"/>
      <sheetName val="Raw_Data"/>
      <sheetName val="배수내역_(2)"/>
      <sheetName val="220_(2)"/>
      <sheetName val="1_취수장"/>
      <sheetName val="식음료"/>
      <sheetName val="설비원가"/>
      <sheetName val="현장관리비"/>
      <sheetName val="asd"/>
      <sheetName val="월별수입"/>
      <sheetName val="1승인신청서"/>
      <sheetName val="덕전리"/>
      <sheetName val="진접"/>
      <sheetName val="DHEQSUPT"/>
      <sheetName val="수량산출"/>
      <sheetName val="HANDHOLE(2)"/>
      <sheetName val="품셈(기초)"/>
      <sheetName val="골재산출"/>
      <sheetName val="조명시설"/>
      <sheetName val="Sheet3"/>
      <sheetName val="수량산출서 갑지"/>
      <sheetName val="AC-01-원본"/>
      <sheetName val="상가지급현황"/>
      <sheetName val="예가표"/>
      <sheetName val="중기일위대가"/>
      <sheetName val="와동25-3(변경)"/>
      <sheetName val="FORM-0"/>
      <sheetName val="직공비"/>
      <sheetName val="문화재토적"/>
      <sheetName val="개요입력"/>
      <sheetName val="수량기준"/>
      <sheetName val="단가기준"/>
      <sheetName val="Feuil1"/>
      <sheetName val="기초일위"/>
      <sheetName val="시설일위"/>
      <sheetName val="조명일위"/>
      <sheetName val="98지급계획"/>
      <sheetName val="공량산출근거서"/>
      <sheetName val="CIVIL"/>
      <sheetName val="사업성분석"/>
      <sheetName val="견적대비표"/>
      <sheetName val="날개½_x005f_x0000_뜀표"/>
      <sheetName val="날개½"/>
      <sheetName val="국내"/>
      <sheetName val="총내역서"/>
      <sheetName val="D"/>
      <sheetName val="간접1"/>
      <sheetName val="말뚝지지력산정"/>
      <sheetName val="제수"/>
      <sheetName val="공기"/>
      <sheetName val="배수통관토공수량"/>
      <sheetName val="실행"/>
      <sheetName val="일위_파일"/>
      <sheetName val="98수문일위"/>
      <sheetName val="운반"/>
      <sheetName val="현장일반사항"/>
      <sheetName val="차선도색현황"/>
      <sheetName val="토공총괄표"/>
      <sheetName val="부안일위"/>
      <sheetName val="Inputs"/>
      <sheetName val="배명(단가)"/>
      <sheetName val="개산공사비"/>
      <sheetName val="전익자재"/>
      <sheetName val="건축2"/>
      <sheetName val="TOWER 10T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KUN"/>
      <sheetName val="GAEYO"/>
      <sheetName val="갑지(추정)"/>
      <sheetName val="Sheet5"/>
      <sheetName val="BSD (2)"/>
      <sheetName val="입찰안"/>
      <sheetName val="노임이"/>
      <sheetName val="직노"/>
      <sheetName val="갑지1"/>
      <sheetName val="기계내역서"/>
      <sheetName val="FURNITURE-01"/>
      <sheetName val="시화점실행"/>
      <sheetName val="SUMMARY"/>
      <sheetName val="PAINT"/>
      <sheetName val="물량표"/>
      <sheetName val="인사자료총집계"/>
      <sheetName val="전력"/>
      <sheetName val="PANEL"/>
      <sheetName val="I一般比"/>
      <sheetName val="입력"/>
      <sheetName val="입출재고현황 (2)"/>
      <sheetName val="개요"/>
      <sheetName val="잡비"/>
      <sheetName val="원효펌프교체020812"/>
      <sheetName val="천안IP공장자100노100물량110할증"/>
      <sheetName val="옹벽"/>
      <sheetName val="SUM-PLT"/>
      <sheetName val="공문"/>
      <sheetName val="손익분석"/>
      <sheetName val="200"/>
      <sheetName val="연돌일위집계"/>
      <sheetName val="출자한도"/>
      <sheetName val="프랜트면허"/>
      <sheetName val="토목주소"/>
      <sheetName val="BID"/>
      <sheetName val="설계내역서"/>
      <sheetName val="주식"/>
      <sheetName val="Sheet1 (2)"/>
      <sheetName val="APT"/>
      <sheetName val="부속동"/>
      <sheetName val="부하계산서"/>
      <sheetName val="전기"/>
      <sheetName val="적용률"/>
      <sheetName val="VL"/>
      <sheetName val="ND"/>
      <sheetName val="ST창호"/>
      <sheetName val="금액내역서"/>
      <sheetName val="일위대가"/>
      <sheetName val="경비"/>
      <sheetName val="소비자가"/>
      <sheetName val="TEST1"/>
      <sheetName val="Sheet4"/>
      <sheetName val="EVALUATION"/>
      <sheetName val="을"/>
      <sheetName val="수리결과"/>
      <sheetName val="내역서"/>
      <sheetName val="ELECTRIC"/>
      <sheetName val="CTEMCOST"/>
      <sheetName val="SCHEDULE"/>
      <sheetName val="소요자재"/>
      <sheetName val="노무산출서"/>
      <sheetName val="수량명세서"/>
      <sheetName val="노임단가"/>
      <sheetName val="Sheet2"/>
      <sheetName val="0226"/>
      <sheetName val="방배동내역(리라)"/>
      <sheetName val="부대공사총괄"/>
      <sheetName val="현장경비"/>
      <sheetName val="건축공사집계표"/>
      <sheetName val="금융"/>
      <sheetName val="Sheet1_(2)"/>
      <sheetName val="영동(D)"/>
      <sheetName val="J直材4"/>
      <sheetName val="갑지_추정_"/>
      <sheetName val="Total"/>
      <sheetName val="콘크리트타설집계표"/>
      <sheetName val="목록"/>
      <sheetName val="중기"/>
      <sheetName val="ASALTOTA"/>
      <sheetName val="갑지"/>
      <sheetName val="Wl. Fin."/>
      <sheetName val="Piping Design Data"/>
      <sheetName val="#REF"/>
      <sheetName val="6호기"/>
      <sheetName val="Ext. Stone-P"/>
      <sheetName val="운영도(변경후)"/>
      <sheetName val="울산시산표"/>
      <sheetName val="마산월령동골조물량변경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공사수행방안"/>
      <sheetName val="GAEYO"/>
      <sheetName val="Sheet4"/>
      <sheetName val="갑지(추정)"/>
      <sheetName val="Sheet3"/>
      <sheetName val="원효펌프교체020812"/>
      <sheetName val="Sheet5"/>
      <sheetName val="음료실행"/>
      <sheetName val="개요"/>
      <sheetName val="Request"/>
      <sheetName val="VXXXXXXX"/>
      <sheetName val="#REF"/>
      <sheetName val="tggwan(mac)"/>
      <sheetName val="건설성적"/>
      <sheetName val="XZLC004_PART2"/>
      <sheetName val="포장복구집계"/>
      <sheetName val="이름"/>
      <sheetName val="환산"/>
      <sheetName val="납부서"/>
      <sheetName val="DATA"/>
      <sheetName val="gvl"/>
      <sheetName val="단중표"/>
      <sheetName val="자재단가비교표"/>
      <sheetName val="AV시스템"/>
      <sheetName val="Sheet6"/>
      <sheetName val="원가계산서(남측)"/>
      <sheetName val="지계"/>
      <sheetName val="입찰안"/>
      <sheetName val="BCK3672"/>
      <sheetName val="시화점실행"/>
      <sheetName val="인사자료총집계"/>
      <sheetName val="Ext. Stone-P"/>
      <sheetName val="HRSG SMALL07220"/>
      <sheetName val="한강운반비"/>
      <sheetName val="INPUT"/>
      <sheetName val="공사진행"/>
      <sheetName val="카니발(자105노60)"/>
      <sheetName val="설계내역서"/>
      <sheetName val="노임이"/>
      <sheetName val="설직재-1"/>
      <sheetName val="CAT_5"/>
      <sheetName val="FURNITURE-01"/>
      <sheetName val="SP-B1"/>
      <sheetName val="차액보증"/>
      <sheetName val="guard(mac)"/>
      <sheetName val="A-4"/>
      <sheetName val="총괄원가계산서1"/>
      <sheetName val="BSD (2)"/>
      <sheetName val="ABUT수량-A1"/>
      <sheetName val="예비품"/>
      <sheetName val="현장관리비"/>
      <sheetName val="실행내역"/>
      <sheetName val="천안IP공장자100노100물량110할증"/>
      <sheetName val="중기조종사 단위단가"/>
      <sheetName val="노무비단가"/>
      <sheetName val="골조시행"/>
      <sheetName val="APT"/>
      <sheetName val="작성기준"/>
      <sheetName val="시멘트"/>
      <sheetName val="케이블및전선관규격표"/>
      <sheetName val="Regenerator  Concrete Structure"/>
      <sheetName val="인테리어세부내역"/>
      <sheetName val="직노"/>
      <sheetName val="일반공사"/>
      <sheetName val="6호기"/>
      <sheetName val="플랜트 설치"/>
      <sheetName val="단가 및 재료비"/>
      <sheetName val="집수정"/>
      <sheetName val="기준 및 분석"/>
      <sheetName val="45,46"/>
      <sheetName val="내역1"/>
      <sheetName val="장비부하"/>
      <sheetName val="전차선로 물량표"/>
      <sheetName val="전차선로_물량표"/>
      <sheetName val="Ext__Stone-P"/>
      <sheetName val="HRSG_SMALL07220"/>
      <sheetName val="부대토목"/>
      <sheetName val="수주실적0709"/>
      <sheetName val="반중력식옹벽"/>
      <sheetName val="Curves"/>
      <sheetName val="Tables"/>
      <sheetName val="잡철물"/>
      <sheetName val="SUMMARY"/>
      <sheetName val="PAINT"/>
      <sheetName val="8.PILE  (돌출)"/>
      <sheetName val="내역"/>
      <sheetName val="NYS"/>
      <sheetName val="공문"/>
      <sheetName val="갑지"/>
      <sheetName val="CATV"/>
      <sheetName val="수입"/>
      <sheetName val="토목주소"/>
      <sheetName val="프랜트면허"/>
      <sheetName val="목표세부명세"/>
      <sheetName val="공량산출근거서"/>
      <sheetName val="기존단가 (2)"/>
      <sheetName val="공사개요"/>
      <sheetName val="연부97-1"/>
      <sheetName val="EACT10"/>
      <sheetName val="광혁기성"/>
      <sheetName val="ASP"/>
      <sheetName val="PROJECT BRIEF(EX.NEW)"/>
      <sheetName val="chitimc"/>
      <sheetName val="원가계산서"/>
      <sheetName val="BQ"/>
      <sheetName val="hvac(제어동)"/>
      <sheetName val="BOQ건축"/>
      <sheetName val="품셈TABLE"/>
      <sheetName val="HRSG_SMALL072201"/>
      <sheetName val="Ext__Stone-P1"/>
      <sheetName val="BSD_(2)"/>
      <sheetName val="중기조종사_단위단가"/>
      <sheetName val="Regenerator__Concrete_Structure"/>
      <sheetName val="플랜트_설치"/>
      <sheetName val="단가_및_재료비"/>
      <sheetName val="기준_및_분석"/>
      <sheetName val="전차선로_물량표1"/>
      <sheetName val="8_PILE__(돌출)"/>
      <sheetName val="기존단가_(2)"/>
      <sheetName val="말뚝지지력산정"/>
      <sheetName val="Total"/>
      <sheetName val="MixBed"/>
      <sheetName val="CondPol"/>
      <sheetName val="직재"/>
      <sheetName val="Factor"/>
      <sheetName val="제수"/>
      <sheetName val="공기"/>
      <sheetName val="DHEQSUPT"/>
      <sheetName val="총예상원가"/>
      <sheetName val=" 견적서"/>
      <sheetName val="점수계산1-2"/>
      <sheetName val="1.설계조건"/>
      <sheetName val="조명시설"/>
      <sheetName val="Sheet1"/>
      <sheetName val="MEMBER"/>
      <sheetName val="입출재고현황 (2)"/>
      <sheetName val="미드수량"/>
      <sheetName val="MINA BM"/>
      <sheetName val="h-013211-2"/>
      <sheetName val="기본DATA"/>
      <sheetName val="북방3터널"/>
      <sheetName val="ITEM"/>
      <sheetName val="지사인원사무실"/>
      <sheetName val="금액집계"/>
      <sheetName val="물량표S"/>
      <sheetName val="물량표"/>
      <sheetName val="Customer Databas"/>
      <sheetName val="N賃率-職"/>
      <sheetName val="I一般比"/>
      <sheetName val="내역서"/>
      <sheetName val="단가결정"/>
      <sheetName val="내역아"/>
      <sheetName val="울타리"/>
      <sheetName val="시설물일위"/>
      <sheetName val="표준대차대조표(1)"/>
      <sheetName val="부속동"/>
      <sheetName val="월별수입"/>
      <sheetName val="견적서"/>
      <sheetName val="118.세금과공과"/>
      <sheetName val="Parts"/>
      <sheetName val="Menu A"/>
      <sheetName val="INSTR"/>
      <sheetName val="유리"/>
      <sheetName val="목록"/>
      <sheetName val="IMPEADENCE MAP 취수장"/>
      <sheetName val="수량산출1"/>
      <sheetName val="일위대가"/>
      <sheetName val="자재단가표"/>
      <sheetName val="사업성분석"/>
      <sheetName val="소방"/>
      <sheetName val="7. 현장관리비 "/>
      <sheetName val="6. 안전관리비"/>
      <sheetName val="FB25JN"/>
      <sheetName val="LS re sales"/>
      <sheetName val="2공구산출내역"/>
      <sheetName val="금액"/>
      <sheetName val="별표 "/>
      <sheetName val="조명율표"/>
      <sheetName val="단가조사-2"/>
      <sheetName val="VE절감"/>
      <sheetName val="실행철강하도"/>
      <sheetName val="자재단가"/>
      <sheetName val="신우"/>
      <sheetName val="심의위원명단"/>
      <sheetName val="신표지1"/>
      <sheetName val="1.총괄현황"/>
      <sheetName val="C-18"/>
      <sheetName val="COA-17"/>
      <sheetName val="예산M11A"/>
      <sheetName val="Y-WORK"/>
      <sheetName val="_REF"/>
      <sheetName val="PROJECT_BRIEF(EX_NEW)"/>
      <sheetName val="소요자재"/>
      <sheetName val="노무산출서"/>
      <sheetName val="내역표지"/>
      <sheetName val="하수실행"/>
      <sheetName val="SKETCH"/>
      <sheetName val="REINF."/>
      <sheetName val="LOADS"/>
      <sheetName val="CHECK1"/>
      <sheetName val="약품설비"/>
      <sheetName val="산출근거"/>
      <sheetName val="MAT"/>
      <sheetName val="Air-Con Charging(A)"/>
      <sheetName val="Air-Con Charging (2)"/>
      <sheetName val="CAPVC"/>
      <sheetName val="단면 (2)"/>
      <sheetName val="실행내역서 "/>
      <sheetName val="ETC"/>
      <sheetName val="자판실행"/>
      <sheetName val="부하계산서"/>
      <sheetName val="자료"/>
      <sheetName val="잡비"/>
      <sheetName val="수량산출서"/>
      <sheetName val="산출서(마감)"/>
      <sheetName val="이음정착표"/>
      <sheetName val="부재산출표"/>
      <sheetName val="집계표(마감)"/>
      <sheetName val="수량집계표"/>
      <sheetName val="세부내역"/>
      <sheetName val="3.공통공사대비"/>
      <sheetName val="현장"/>
      <sheetName val="공사내역서"/>
      <sheetName val="c_balju"/>
      <sheetName val="단가표"/>
      <sheetName val="상수도토공집계표"/>
      <sheetName val="건축내역"/>
      <sheetName val="조건입력"/>
      <sheetName val="조건입력(2)"/>
      <sheetName val="장비선정"/>
      <sheetName val="01"/>
      <sheetName val="기별"/>
      <sheetName val="설계명세서"/>
      <sheetName val="터파기및재료"/>
      <sheetName val="가격조사서"/>
      <sheetName val="2F 회의실견적(5_14 일대)"/>
      <sheetName val="정부노임단가"/>
      <sheetName val="설계조건"/>
      <sheetName val="2010"/>
      <sheetName val="CC16-내역서"/>
      <sheetName val="12호기내역서(건축분)"/>
      <sheetName val="MOTOR"/>
      <sheetName val="찍기"/>
      <sheetName val="진접"/>
      <sheetName val="자재조사"/>
      <sheetName val="시중노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추정)"/>
      <sheetName val="GAEYO"/>
      <sheetName val="JOKUN"/>
      <sheetName val="건축집계"/>
      <sheetName val="총물량"/>
      <sheetName val="적용률"/>
      <sheetName val="Y-WORK"/>
      <sheetName val="직노"/>
      <sheetName val="총괄표"/>
      <sheetName val="Tables"/>
      <sheetName val="전기"/>
      <sheetName val="DATA"/>
      <sheetName val="일위대가"/>
      <sheetName val="계약내역서(을지)"/>
      <sheetName val="BSD (2)"/>
      <sheetName val="공통가설"/>
      <sheetName val="danga"/>
      <sheetName val="ilch"/>
      <sheetName val="Sheet5"/>
      <sheetName val="Y_WORK"/>
      <sheetName val="실행내역서 "/>
      <sheetName val="을"/>
      <sheetName val="내역서"/>
      <sheetName val="SUM-CTI"/>
      <sheetName val="갑지1"/>
      <sheetName val="음료실행"/>
      <sheetName val="Sheet1"/>
      <sheetName val="내역"/>
      <sheetName val="guard(mac)"/>
      <sheetName val="INPUT"/>
      <sheetName val="표지 (2)"/>
      <sheetName val="지주목시비량산출서"/>
      <sheetName val="단가조사"/>
      <sheetName val="정부노임단가"/>
      <sheetName val="내역서 "/>
      <sheetName val="실행간접비용"/>
      <sheetName val="Total"/>
      <sheetName val="EKOG10건축"/>
      <sheetName val="본공사"/>
      <sheetName val="3.공통공사대비"/>
      <sheetName val="토목"/>
      <sheetName val="설직재-1"/>
      <sheetName val="AP1"/>
      <sheetName val="PROJECT BRIEF(EX.NEW)"/>
      <sheetName val="TEST1"/>
      <sheetName val="연돌일위집계"/>
      <sheetName val="DS기성최종"/>
      <sheetName val="DS설변내역서"/>
      <sheetName val="1.우편집중내역서"/>
      <sheetName val="개요"/>
      <sheetName val="대우단가(풍산)"/>
      <sheetName val="정산내역서"/>
      <sheetName val="일반전기"/>
      <sheetName val="TYPE-A"/>
      <sheetName val="예산서"/>
      <sheetName val="#REF"/>
      <sheetName val="LEGEND"/>
      <sheetName val="실행(ALT1)"/>
      <sheetName val="갑지_추정_"/>
      <sheetName val="P-산#1-1(WOWA1)"/>
      <sheetName val="을지"/>
      <sheetName val="6호기"/>
      <sheetName val="Customer Databas"/>
      <sheetName val="CAB_OD"/>
      <sheetName val="1F"/>
      <sheetName val="NEYOK"/>
      <sheetName val="단가"/>
      <sheetName val="1995년 섹터별 매출"/>
      <sheetName val="판"/>
      <sheetName val="단면가정"/>
      <sheetName val="시화점실행"/>
      <sheetName val="입찰안"/>
      <sheetName val="대비내역"/>
      <sheetName val="KLHT"/>
      <sheetName val="공사개요"/>
      <sheetName val="WORK"/>
      <sheetName val="1-1"/>
      <sheetName val="자료입력"/>
      <sheetName val="Sheet2"/>
      <sheetName val="말뚝지지력산정"/>
      <sheetName val="입찰"/>
      <sheetName val="현경"/>
      <sheetName val="직공비"/>
      <sheetName val="적용기준"/>
      <sheetName val="Sheet6"/>
      <sheetName val="노임대장"/>
      <sheetName val="일위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대치판정"/>
      <sheetName val="일반부표"/>
      <sheetName val="실행철강하도"/>
      <sheetName val="TB-내역서"/>
      <sheetName val="백암비스타내역"/>
      <sheetName val="목록"/>
      <sheetName val="중기"/>
      <sheetName val="실행(표지,갑,을)"/>
      <sheetName val="노임"/>
      <sheetName val="코드"/>
      <sheetName val="내역1"/>
      <sheetName val="공통비(전체)"/>
      <sheetName val="자재(원원+원대)"/>
      <sheetName val="출력일지(01월)"/>
      <sheetName val="설계"/>
      <sheetName val="차액보증"/>
      <sheetName val="기초일위"/>
      <sheetName val="건축공사실행"/>
      <sheetName val="공내역"/>
      <sheetName val="3_공통공사대비"/>
      <sheetName val="설비단가표"/>
      <sheetName val="CTEMCOST"/>
      <sheetName val="ELECTRIC"/>
      <sheetName val="1월"/>
      <sheetName val="설계명세"/>
      <sheetName val="9GNG운반"/>
      <sheetName val="견적내역"/>
      <sheetName val="Indirect Cost"/>
      <sheetName val="투찰"/>
      <sheetName val="백호우계수"/>
      <sheetName val="총괄"/>
      <sheetName val="개산공사비"/>
      <sheetName val="공사비산출내역"/>
      <sheetName val="대비표(토공1안)"/>
      <sheetName val="기본사항"/>
      <sheetName val="CAT_5"/>
      <sheetName val="N賃率-職"/>
      <sheetName val="gyun"/>
      <sheetName val="인사자료총집계"/>
      <sheetName val="(1)본선수량집계"/>
      <sheetName val="설비원가"/>
      <sheetName val="표지"/>
      <sheetName val="원가계산서"/>
      <sheetName val="1차설계변경내역"/>
      <sheetName val="°©Áö(ÃßÁ¤)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°øÅë°¡¼³"/>
      <sheetName val="6È£±â"/>
      <sheetName val="Åä¸ñ"/>
      <sheetName val="º»°ø»ç"/>
      <sheetName val="°ø³»¿ª"/>
      <sheetName val="1Â÷¼³°èº¯°æ³»¿ª"/>
      <sheetName val="¿ø°¡°è»ê¼­"/>
      <sheetName val="인건비"/>
      <sheetName val="대전-교대(A1-A2)"/>
      <sheetName val="저"/>
      <sheetName val="재료비"/>
      <sheetName val="경비일반이윤"/>
      <sheetName val="노무비"/>
      <sheetName val="관리,공감"/>
      <sheetName val="4.2유효폭의 계산"/>
      <sheetName val="데이타"/>
      <sheetName val="식재인부"/>
      <sheetName val="노임단가"/>
      <sheetName val="단위수량"/>
      <sheetName val="수량산출"/>
      <sheetName val="해평견적"/>
      <sheetName val="대가목록"/>
      <sheetName val="남양시작동자105노65기1.3화1.2"/>
      <sheetName val="준검 내역서"/>
      <sheetName val="을-ATYPE"/>
      <sheetName val="기존단가 (2)"/>
      <sheetName val="기본일위"/>
      <sheetName val="I一般比"/>
      <sheetName val="새공통"/>
      <sheetName val="수량집계(방송설비)"/>
      <sheetName val="조직"/>
      <sheetName val="수량집계(전기시계)"/>
      <sheetName val="수량집계(출입통제)"/>
      <sheetName val="수량집계(통합배선)"/>
      <sheetName val="수량집계(CATV)"/>
      <sheetName val="수량집계(CCTV)"/>
      <sheetName val="원내역서3"/>
      <sheetName val="설계서"/>
      <sheetName val="자재단가"/>
      <sheetName val="집계"/>
      <sheetName val="위생기구"/>
      <sheetName val="기계실냉난방"/>
      <sheetName val="건축2"/>
      <sheetName val="일위대가 "/>
      <sheetName val="전력"/>
      <sheetName val="증감대비"/>
      <sheetName val="유림골조"/>
      <sheetName val="은행"/>
      <sheetName val="공사내역"/>
      <sheetName val="업체견적(거푸집)"/>
      <sheetName val="자재비"/>
      <sheetName val="BID"/>
      <sheetName val="골조"/>
      <sheetName val="돈암사업"/>
      <sheetName val="안내"/>
      <sheetName val="건축"/>
      <sheetName val="시점교대"/>
      <sheetName val="시중노임단가"/>
      <sheetName val=" 냉각수펌프"/>
      <sheetName val="공조기휀"/>
      <sheetName val="AHU집계"/>
      <sheetName val=" BM 셈플"/>
      <sheetName val="Sheet1 (2)"/>
      <sheetName val="실행대비"/>
      <sheetName val="단가표"/>
      <sheetName val="총괄갑 "/>
      <sheetName val="날개벽수량표"/>
      <sheetName val="건축원가"/>
      <sheetName val="부하계산서"/>
      <sheetName val="노임이"/>
      <sheetName val="파일의이용"/>
      <sheetName val="기성내역서표지"/>
      <sheetName val="변경내역서간지"/>
      <sheetName val="1.취수장"/>
      <sheetName val="노임,재료비"/>
      <sheetName val="DATA1"/>
      <sheetName val="난방열교"/>
      <sheetName val="급탕열교"/>
      <sheetName val="기본단가표"/>
      <sheetName val="국내조달(통합-1)"/>
      <sheetName val="b_balju_cho"/>
      <sheetName val="부하집계표"/>
      <sheetName val="갑지"/>
      <sheetName val="금융비용"/>
      <sheetName val="환산"/>
      <sheetName val="내   역"/>
      <sheetName val="기술부 VENDOR LIST"/>
      <sheetName val="경산"/>
      <sheetName val="금액"/>
      <sheetName val="토목설계(배수지+관로)"/>
      <sheetName val="공동"/>
      <sheetName val="단독"/>
      <sheetName val="수납장배치도"/>
      <sheetName val="터파기및재료"/>
      <sheetName val="NP-총정리"/>
      <sheetName val="45,46"/>
      <sheetName val="도급FORM"/>
      <sheetName val="2공구산출내역"/>
      <sheetName val="설계내역서"/>
      <sheetName val="Baby일위대가"/>
      <sheetName val="주요기준"/>
      <sheetName val="세부내역"/>
      <sheetName val="정화조동내역"/>
      <sheetName val="소비자가"/>
      <sheetName val="수량집계"/>
      <sheetName val="Front"/>
      <sheetName val="wall"/>
      <sheetName val="실행단가철(ems코드적용)"/>
      <sheetName val="관급"/>
      <sheetName val="시중노임"/>
      <sheetName val="수리결과"/>
      <sheetName val="노무비단가"/>
      <sheetName val="시설물일위"/>
      <sheetName val="조명율"/>
      <sheetName val="BM"/>
      <sheetName val="부대공"/>
      <sheetName val="포장공"/>
      <sheetName val="토공"/>
      <sheetName val="청천내"/>
      <sheetName val="Salary(해외)"/>
      <sheetName val="DJ1"/>
      <sheetName val="도급실행(본관-주차장)"/>
      <sheetName val="일위대가(가설)"/>
      <sheetName val="Macro7"/>
      <sheetName val="중기사용료"/>
      <sheetName val="수목단가"/>
      <sheetName val="시설수량표"/>
      <sheetName val="식재수량표"/>
      <sheetName val="일위목록"/>
      <sheetName val="기초단가"/>
      <sheetName val="명세"/>
      <sheetName val="패널"/>
      <sheetName val="대비"/>
      <sheetName val="집계표"/>
      <sheetName val="조건표"/>
      <sheetName val="3BL공동구 수량"/>
      <sheetName val="일반공사"/>
      <sheetName val="변경내역"/>
      <sheetName val="스포회원매출"/>
      <sheetName val="BSD _2_"/>
      <sheetName val="전차선로 물량표"/>
      <sheetName val="일위대가(목록)"/>
      <sheetName val="프랜트면허"/>
      <sheetName val="하수급견적대비"/>
      <sheetName val="익산"/>
      <sheetName val="준공시전망_원본"/>
      <sheetName val="PAINT"/>
      <sheetName val="Breakdown"/>
      <sheetName val="UnitRate"/>
      <sheetName val="fs-e"/>
      <sheetName val="tax1"/>
      <sheetName val="방수"/>
      <sheetName val="현장지지물물량"/>
      <sheetName val="현금"/>
      <sheetName val="내역서을지"/>
      <sheetName val="CODE"/>
      <sheetName val="주경기-오배수"/>
      <sheetName val="내역(전체)"/>
      <sheetName val="#2_일위대가목록"/>
      <sheetName val="예산내역서"/>
      <sheetName val="기둥(원형)"/>
      <sheetName val="점검내역서(data) (2)"/>
      <sheetName val="단가산출2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내역서"/>
      <sheetName val="집계표"/>
      <sheetName val="입찰안"/>
      <sheetName val="내역"/>
      <sheetName val="#REF"/>
      <sheetName val="Macro3"/>
      <sheetName val="Book3"/>
      <sheetName val="잔여공사실행"/>
      <sheetName val="비목별기성"/>
      <sheetName val="Sheet5"/>
      <sheetName val="갑지"/>
      <sheetName val="금융비용"/>
      <sheetName val="_REF"/>
      <sheetName val="정공공사"/>
      <sheetName val="콘크리트타설집계표"/>
      <sheetName val="Tot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Sheet3"/>
      <sheetName val="Sheet4"/>
      <sheetName val="Sheet5"/>
      <sheetName val="갑지(추정)"/>
      <sheetName val="#REF"/>
      <sheetName val="공사수행방안"/>
      <sheetName val="전력"/>
      <sheetName val="도급FORM"/>
      <sheetName val="BSD (2)"/>
      <sheetName val="HRSG SMALL07220"/>
      <sheetName val="Factor"/>
      <sheetName val="수주실적0709"/>
      <sheetName val="Apt내역"/>
      <sheetName val="_REF"/>
      <sheetName val="분석"/>
      <sheetName val="말뚝지지력산정"/>
      <sheetName val="Sheet6"/>
      <sheetName val="대전21토목내역서"/>
      <sheetName val="노임단가"/>
      <sheetName val="DATA1"/>
      <sheetName val="guard(mac)"/>
      <sheetName val="직노"/>
      <sheetName val="BOQ건축"/>
      <sheetName val="Sheet1"/>
      <sheetName val="한강운반비"/>
      <sheetName val="건축집계"/>
      <sheetName val="공통가설"/>
      <sheetName val="케이블및전선관규격표"/>
      <sheetName val="결재갑지"/>
      <sheetName val="예산내역서"/>
      <sheetName val="설계예산서"/>
      <sheetName val="2공구산출내역"/>
      <sheetName val="BQ"/>
      <sheetName val="을"/>
      <sheetName val="일위대가목차"/>
      <sheetName val="TEST1"/>
      <sheetName val="Y-WORK"/>
      <sheetName val="PAINT"/>
      <sheetName val="물량표S"/>
      <sheetName val="SUMMARY"/>
      <sheetName val="자재단가비교표"/>
      <sheetName val="'Sheet1'!$A$22:$G$23"/>
      <sheetName val="갑지1"/>
      <sheetName val="Sheet2"/>
      <sheetName val="일위대가(건축)"/>
      <sheetName val="견적990322"/>
      <sheetName val="Tables"/>
      <sheetName val="DATE"/>
      <sheetName val="기본일위"/>
      <sheetName val="중기사용료"/>
      <sheetName val="설직재-1"/>
      <sheetName val="신우"/>
      <sheetName val="N賃率-職"/>
      <sheetName val="CLAUSE"/>
      <sheetName val="내역서"/>
      <sheetName val="AP1"/>
      <sheetName val="GAEYO"/>
      <sheetName val="약품설비"/>
      <sheetName val="경비"/>
      <sheetName val="단중표"/>
      <sheetName val="이름"/>
      <sheetName val="CODE"/>
      <sheetName val="1.우편집중내역서"/>
      <sheetName val="음료실행"/>
      <sheetName val="6호기"/>
      <sheetName val="단"/>
      <sheetName val="건축집계표"/>
      <sheetName val="Total"/>
      <sheetName val="원효펌프교체020812"/>
      <sheetName val="물량표"/>
      <sheetName val="물량표(신)"/>
      <sheetName val="BEND LOSS"/>
      <sheetName val="반중력식옹벽"/>
      <sheetName val="수량산출"/>
      <sheetName val="hvac(제어동)"/>
      <sheetName val="플랜트 설치"/>
      <sheetName val="일위대가"/>
      <sheetName val="표지 (2)"/>
      <sheetName val="화성이화모듈공장"/>
      <sheetName val="wall"/>
      <sheetName val="ABUT수량-A1"/>
      <sheetName val="충주"/>
      <sheetName val="부대시설"/>
      <sheetName val="3.공통공사대비"/>
      <sheetName val="카니발(자105노60)"/>
      <sheetName val="집수정"/>
      <sheetName val="DATA"/>
      <sheetName val="plan&amp;section of foundation"/>
      <sheetName val="design criteria"/>
      <sheetName val="진천"/>
      <sheetName val="중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총괄"/>
      <sheetName val="집계표"/>
      <sheetName val="내역"/>
      <sheetName val="Sheet1"/>
      <sheetName val="결재판-NO!삭제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  <sheetName val="노임"/>
      <sheetName val="갑지(추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KUN"/>
      <sheetName val="GAEYO"/>
      <sheetName val="갑지(추정)"/>
      <sheetName val="건축공사"/>
      <sheetName val="SUM-PLT"/>
      <sheetName val="Total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추정)"/>
      <sheetName val="GAEYO"/>
      <sheetName val="JOKUN"/>
      <sheetName val="Sheet5"/>
      <sheetName val="BSD (2)"/>
      <sheetName val="갑지1"/>
      <sheetName val="적용률"/>
      <sheetName val="현장지지물물량"/>
      <sheetName val="부하계산서"/>
      <sheetName val="데이타"/>
      <sheetName val="식재인부"/>
      <sheetName val="공통가설"/>
      <sheetName val="EKOG10건축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개산공사비"/>
      <sheetName val="증가분"/>
      <sheetName val="증가수정"/>
      <sheetName val="문의사항"/>
      <sheetName val="데이타"/>
      <sheetName val="식재인부"/>
      <sheetName val="갑지(추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JOKUN"/>
      <sheetName val="갑지(추정)"/>
      <sheetName val="실행(표지,갑,을)"/>
      <sheetName val="정부노임단가"/>
      <sheetName val="갑지_추정_"/>
      <sheetName val="Sheet5"/>
      <sheetName val="실행(ALT1)"/>
      <sheetName val="노임"/>
      <sheetName val="코드"/>
      <sheetName val="총물량"/>
      <sheetName val="내역1"/>
      <sheetName val="목록"/>
      <sheetName val="입찰"/>
      <sheetName val="현경"/>
      <sheetName val="건축집계"/>
      <sheetName val="자재(원원+원대)"/>
      <sheetName val="출력일지(01월)"/>
      <sheetName val="일위대가"/>
      <sheetName val="설계"/>
      <sheetName val="입찰안"/>
      <sheetName val="BSD (2)"/>
      <sheetName val="차액보증"/>
      <sheetName val="기초일위"/>
      <sheetName val="건축공사실행"/>
      <sheetName val="공통비(전체)"/>
      <sheetName val="내역"/>
      <sheetName val="공내역"/>
      <sheetName val="설비단가표"/>
      <sheetName val="SUM-CTI"/>
      <sheetName val="CTEMCOST"/>
      <sheetName val="Total"/>
      <sheetName val="ELECTRIC"/>
      <sheetName val="1월"/>
      <sheetName val="Sheet6"/>
      <sheetName val="설계명세"/>
      <sheetName val="9GNG운반"/>
      <sheetName val="견적내역"/>
      <sheetName val="3_공통공사대비"/>
      <sheetName val="내역서"/>
      <sheetName val="6호기"/>
      <sheetName val="Indirect Cost"/>
      <sheetName val="공통가설"/>
      <sheetName val="투찰"/>
      <sheetName val="직노"/>
      <sheetName val="백호우계수"/>
      <sheetName val="총괄"/>
      <sheetName val="적용률"/>
      <sheetName val="토목"/>
      <sheetName val="개산공사비"/>
      <sheetName val="공사비산출내역"/>
      <sheetName val="대비표(토공1안)"/>
      <sheetName val="CAT_5"/>
      <sheetName val="기본사항"/>
      <sheetName val="N賃率-職"/>
      <sheetName val="gyun"/>
      <sheetName val="인사자료총집계"/>
      <sheetName val="기본일위"/>
      <sheetName val="본공사"/>
      <sheetName val="설비원가"/>
      <sheetName val="표지"/>
      <sheetName val="원내역서3"/>
      <sheetName val="설계서"/>
      <sheetName val="자재단가"/>
      <sheetName val="집계"/>
      <sheetName val="TYPE-A"/>
      <sheetName val="을-ATYPE"/>
      <sheetName val="남양시작동자105노65기1.3화1.2"/>
      <sheetName val="단가"/>
      <sheetName val="해평견적"/>
      <sheetName val="대가목록"/>
      <sheetName val="위생기구"/>
      <sheetName val="기계실냉난방"/>
      <sheetName val="일위대가 "/>
      <sheetName val="전력"/>
      <sheetName val="증감대비"/>
      <sheetName val="유림골조"/>
      <sheetName val="을지"/>
      <sheetName val="(1)본선수량집계"/>
      <sheetName val="원가계산서"/>
      <sheetName val="1차설계변경내역"/>
      <sheetName val="°©Áö(ÃßÁ¤)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°øÅë°¡¼³"/>
      <sheetName val="6È£±â"/>
      <sheetName val="Åä¸ñ"/>
      <sheetName val="º»°ø»ç"/>
      <sheetName val="°ø³»¿ª"/>
      <sheetName val="1Â÷¼³°èº¯°æ³»¿ª"/>
      <sheetName val="¿ø°¡°è»ê¼­"/>
      <sheetName val="인건비"/>
      <sheetName val="대전-교대(A1-A2)"/>
      <sheetName val="저"/>
      <sheetName val="재료비"/>
      <sheetName val="경비일반이윤"/>
      <sheetName val="노무비"/>
      <sheetName val="관리,공감"/>
      <sheetName val="4.2유효폭의 계산"/>
      <sheetName val="데이타"/>
      <sheetName val="식재인부"/>
      <sheetName val="노임단가"/>
      <sheetName val="단위수량"/>
      <sheetName val="수량산출"/>
      <sheetName val="준검 내역서"/>
      <sheetName val="기존단가 (2)"/>
      <sheetName val="골조"/>
      <sheetName val="I一般比"/>
      <sheetName val="새공통"/>
      <sheetName val="돈암사업"/>
      <sheetName val="안내"/>
      <sheetName val="건축"/>
      <sheetName val="시점교대"/>
      <sheetName val="공사내역"/>
      <sheetName val="업체견적(거푸집)"/>
      <sheetName val="시중노임단가"/>
      <sheetName val=" 냉각수펌프"/>
      <sheetName val="공조기휀"/>
      <sheetName val="AHU집계"/>
      <sheetName val=" BM 셈플"/>
      <sheetName val="Sheet1 (2)"/>
      <sheetName val="실행대비"/>
      <sheetName val="단가표"/>
      <sheetName val="환산"/>
      <sheetName val="수량집계(방송설비)"/>
      <sheetName val="조직"/>
      <sheetName val="수량집계(전기시계)"/>
      <sheetName val="수량집계(출입통제)"/>
      <sheetName val="수량집계(통합배선)"/>
      <sheetName val="수량집계(CATV)"/>
      <sheetName val="수량집계(CCTV)"/>
      <sheetName val="3.공통공사대비"/>
      <sheetName val="건축2"/>
      <sheetName val="은행"/>
      <sheetName val="자재비"/>
      <sheetName val="BID"/>
      <sheetName val="금융비용"/>
      <sheetName val="총괄갑 "/>
      <sheetName val="주요기준"/>
      <sheetName val="건축원가"/>
      <sheetName val="토목설계(배수지+관로)"/>
      <sheetName val="공동"/>
      <sheetName val="단독"/>
      <sheetName val="수납장배치도"/>
      <sheetName val="터파기및재료"/>
      <sheetName val="실행철강하도"/>
      <sheetName val="NP-총정리"/>
      <sheetName val="부하계산서"/>
      <sheetName val="45,46"/>
      <sheetName val="도급FORM"/>
      <sheetName val="2공구산출내역"/>
      <sheetName val="금액"/>
      <sheetName val="wall"/>
      <sheetName val="노임이"/>
      <sheetName val="파일의이용"/>
      <sheetName val="기성내역서표지"/>
      <sheetName val="변경내역서간지"/>
      <sheetName val="노임,재료비"/>
      <sheetName val="DATA1"/>
      <sheetName val="난방열교"/>
      <sheetName val="급탕열교"/>
      <sheetName val="1.취수장"/>
      <sheetName val="국내조달(통합-1)"/>
      <sheetName val="기본단가표"/>
      <sheetName val="sheet1"/>
      <sheetName val="b_balju_cho"/>
      <sheetName val="BM"/>
      <sheetName val="부대공"/>
      <sheetName val="포장공"/>
      <sheetName val="토공"/>
      <sheetName val="청천내"/>
      <sheetName val="Salary(해외)"/>
      <sheetName val="연돌일위집계"/>
      <sheetName val="DJ1"/>
      <sheetName val="#REF"/>
      <sheetName val="도급실행(본관-주차장)"/>
      <sheetName val="내   역"/>
      <sheetName val="Baby일위대가"/>
      <sheetName val="부하집계표"/>
      <sheetName val="경산"/>
      <sheetName val="정화조동내역"/>
      <sheetName val="소비자가"/>
      <sheetName val="수량집계"/>
      <sheetName val="Front"/>
      <sheetName val="실행단가철(ems코드적용)"/>
      <sheetName val="관급"/>
      <sheetName val="중기"/>
      <sheetName val="시중노임"/>
      <sheetName val="날개벽수량표"/>
      <sheetName val="갑지"/>
      <sheetName val="기술부 VENDOR LIST"/>
      <sheetName val="설계내역서"/>
      <sheetName val="세부내역"/>
      <sheetName val="수목단가"/>
      <sheetName val="시설수량표"/>
      <sheetName val="식재수량표"/>
      <sheetName val="일위목록"/>
      <sheetName val="기초단가"/>
      <sheetName val="명세"/>
      <sheetName val="스포회원매출"/>
      <sheetName val="단가조사"/>
      <sheetName val="현금"/>
      <sheetName val="조명율"/>
      <sheetName val="중기사용료"/>
      <sheetName val="Macro7"/>
      <sheetName val="일위대가(가설)"/>
      <sheetName val="패널"/>
      <sheetName val="대비"/>
      <sheetName val="집계표"/>
      <sheetName val="조건표"/>
      <sheetName val="말뚝지지력산정"/>
      <sheetName val="3BL공동구 수량"/>
      <sheetName val="일반공사"/>
      <sheetName val="변경내역"/>
      <sheetName val="BSD _2_"/>
      <sheetName val="전차선로 물량표"/>
      <sheetName val="일위대가(목록)"/>
      <sheetName val="프랜트면허"/>
      <sheetName val="수리결과"/>
      <sheetName val="하수급견적대비"/>
      <sheetName val="전기"/>
      <sheetName val="시설물일위"/>
      <sheetName val="노무비단가"/>
      <sheetName val="익산"/>
      <sheetName val="아파트"/>
      <sheetName val="Customer Databas"/>
      <sheetName val="판매시설"/>
      <sheetName val="COVER"/>
      <sheetName val="구리토평1전기"/>
      <sheetName val="부재리스트"/>
      <sheetName val="unit 4"/>
      <sheetName val="일위대가표"/>
      <sheetName val="일용직내역"/>
      <sheetName val="DATA테이블1 (2)"/>
      <sheetName val="부대내역"/>
      <sheetName val="공문"/>
      <sheetName val="나.건축"/>
      <sheetName val="도근좌표"/>
      <sheetName val="철콘공사"/>
      <sheetName val="우석문틀"/>
      <sheetName val="수지예산"/>
      <sheetName val="부산만덕"/>
      <sheetName val="수원율전"/>
      <sheetName val="안양주공"/>
      <sheetName val="표준일위대가"/>
      <sheetName val="파주"/>
      <sheetName val="토목2"/>
      <sheetName val="코드표"/>
      <sheetName val="공사원가계산서"/>
      <sheetName val="건축원가계산서"/>
      <sheetName val="예정공정완"/>
      <sheetName val="비교표"/>
      <sheetName val="샤워실위생"/>
      <sheetName val="20관리비율"/>
      <sheetName val="그림"/>
      <sheetName val="구성1"/>
      <sheetName val="구성2"/>
      <sheetName val="구성3"/>
      <sheetName val="구성4"/>
      <sheetName val="그림2"/>
      <sheetName val="신청서"/>
      <sheetName val="행거,슈,볼트,펌프,잡재"/>
      <sheetName val="미장"/>
      <sheetName val="철골"/>
      <sheetName val="Internal Floor"/>
      <sheetName val="수수료율표"/>
      <sheetName val="감액총괄표"/>
      <sheetName val="설비내역"/>
      <sheetName val="설계내역2"/>
      <sheetName val="아파트건축"/>
      <sheetName val="설계내역"/>
      <sheetName val="노원열병합  건축공사기성내역서"/>
      <sheetName val="TEL"/>
      <sheetName val="예산서"/>
      <sheetName val="공사개요"/>
      <sheetName val="Tables"/>
      <sheetName val="을"/>
      <sheetName val="단위단가"/>
      <sheetName val="저수조"/>
      <sheetName val="급,배기팬"/>
      <sheetName val="급탕순환펌프"/>
      <sheetName val="순환펌프"/>
      <sheetName val="분당임차변경"/>
      <sheetName val="콘크리트타설집계표"/>
      <sheetName val="덕전리"/>
      <sheetName val="미디어고등학교"/>
      <sheetName val="Sheet2"/>
      <sheetName val="요율"/>
      <sheetName val="변경서식"/>
      <sheetName val="견적"/>
      <sheetName val="EQT-ESTN"/>
      <sheetName val="9811"/>
      <sheetName val="Y-WORK"/>
      <sheetName val="총괄표"/>
      <sheetName val="DATA"/>
      <sheetName val="계약내역서(을지)"/>
      <sheetName val="danga"/>
      <sheetName val="ilch"/>
      <sheetName val="Y_WORK"/>
      <sheetName val="실행내역서 "/>
      <sheetName val="갑지1"/>
      <sheetName val="음료실행"/>
      <sheetName val="guard(mac)"/>
      <sheetName val="INPUT"/>
      <sheetName val="표지 (2)"/>
      <sheetName val="지주목시비량산출서"/>
      <sheetName val="내역서 "/>
      <sheetName val="실행간접비용"/>
      <sheetName val="EKOG10건축"/>
      <sheetName val="설직재-1"/>
      <sheetName val="AP1"/>
      <sheetName val="PROJECT BRIEF(EX.NEW)"/>
      <sheetName val="TEST1"/>
      <sheetName val="DS기성최종"/>
      <sheetName val="DS설변내역서"/>
      <sheetName val="1.우편집중내역서"/>
      <sheetName val="개요"/>
      <sheetName val="대우단가(풍산)"/>
      <sheetName val="정산내역서"/>
      <sheetName val="일반전기"/>
      <sheetName val="LEGEND"/>
      <sheetName val="P-산#1-1(WOWA1)"/>
      <sheetName val="CAB_OD"/>
      <sheetName val="1F"/>
      <sheetName val="NEYOK"/>
      <sheetName val="1995년 섹터별 매출"/>
      <sheetName val="판"/>
      <sheetName val="현장지지물물량"/>
      <sheetName val="1-1"/>
      <sheetName val="대비내역"/>
      <sheetName val="입고현황(전체)"/>
      <sheetName val="전체"/>
      <sheetName val="ACDIM6D"/>
      <sheetName val="기계시공"/>
      <sheetName val="산근"/>
      <sheetName val="토공(우물통,기타) "/>
      <sheetName val="아파트 기성내역서"/>
      <sheetName val="정공공사"/>
      <sheetName val="토목주소"/>
      <sheetName val="Macro"/>
      <sheetName val="공사수행방안"/>
      <sheetName val="ºÎÇÏ°è»ê¼­"/>
      <sheetName val="ÇöÀåÁöÁö¹°¹°·®"/>
      <sheetName val="±â°è½Ã°ø"/>
      <sheetName val="Àû¿ë·ü"/>
      <sheetName val="»ê±Ù"/>
      <sheetName val="EKOG10°ÇÃà"/>
      <sheetName val="À»Áö"/>
      <sheetName val="Åä°ø(¿ì¹°Åë,±âÅ¸) "/>
      <sheetName val="¼³»ê1.³ª"/>
      <sheetName val="º»»çS"/>
      <sheetName val="SG"/>
      <sheetName val="설산1.나"/>
      <sheetName val="본사S"/>
      <sheetName val="조경"/>
      <sheetName val="공종단가"/>
      <sheetName val="예가표"/>
      <sheetName val="DATE"/>
      <sheetName val="내역(전체)"/>
      <sheetName val="주소록"/>
      <sheetName val="입찰보고"/>
      <sheetName val="재료"/>
      <sheetName val="설치자재"/>
      <sheetName val="IN2"/>
      <sheetName val="담파단가"/>
      <sheetName val="일위대가목록(ems)"/>
      <sheetName val="일반부표"/>
      <sheetName val="Uint보온"/>
      <sheetName val="기계설비"/>
      <sheetName val="설비"/>
      <sheetName val="수지"/>
      <sheetName val="200"/>
      <sheetName val="견적서"/>
      <sheetName val="납부서"/>
      <sheetName val="Sheet17"/>
      <sheetName val="사업자등록증"/>
      <sheetName val="인원자료"/>
      <sheetName val="참고"/>
      <sheetName val="1차 내역서"/>
      <sheetName val="공조기"/>
      <sheetName val="SP-B1"/>
      <sheetName val="현장관리비"/>
      <sheetName val="TIE-IN"/>
      <sheetName val="내역표지"/>
      <sheetName val="96노임기준"/>
      <sheetName val="수원공사비"/>
      <sheetName val="자재대"/>
      <sheetName val="안양1공구_건축"/>
      <sheetName val="현장"/>
      <sheetName val="기계공사"/>
      <sheetName val="적현로"/>
      <sheetName val="총괄원가계산서"/>
      <sheetName val="설계서(건축분)"/>
      <sheetName val="영업소실적"/>
      <sheetName val="CON'C"/>
      <sheetName val="비용산식"/>
      <sheetName val="인원계획-미화"/>
      <sheetName val="물량표"/>
      <sheetName val="실행예산"/>
      <sheetName val="실행내역"/>
      <sheetName val="별첨1(공사견적 양식) (재제출-0713)"/>
      <sheetName val="별첨1(공사견적 양식)"/>
      <sheetName val="공사비비교 (호텔0723-"/>
      <sheetName val="충주"/>
      <sheetName val="플랜트 설치"/>
      <sheetName val="현장관리Assumption"/>
      <sheetName val="직원투입계획"/>
      <sheetName val="조명시설"/>
      <sheetName val="B1(반포1차)"/>
      <sheetName val="건축토목내역"/>
      <sheetName val="연결관암거"/>
      <sheetName val="간접비"/>
      <sheetName val="금융"/>
      <sheetName val=" 견적서"/>
      <sheetName val="가설전기별첨"/>
      <sheetName val="추천서"/>
      <sheetName val="개화1교"/>
      <sheetName val="J直材4"/>
      <sheetName val="CAPVC"/>
      <sheetName val="Macro3"/>
      <sheetName val="산출내역서집계표"/>
      <sheetName val="1,2공구원가계산서"/>
      <sheetName val="간접"/>
      <sheetName val="b_gunmul"/>
      <sheetName val="b_balju (2)"/>
      <sheetName val="내역(중앙)"/>
      <sheetName val="내역(창신)"/>
      <sheetName val="원가 (2)"/>
      <sheetName val="인부임"/>
      <sheetName val="건축내역"/>
      <sheetName val="C1ㅇ"/>
      <sheetName val="교대(A1-A2)"/>
      <sheetName val="배수펌프"/>
      <sheetName val="등가관장표"/>
      <sheetName val="환경기계공정표 (3)"/>
      <sheetName val="자  재"/>
      <sheetName val="건축외주"/>
      <sheetName val="일위대가(건축)"/>
      <sheetName val="토공집계"/>
      <sheetName val="사유서제출현황-2"/>
      <sheetName val="시설일위"/>
      <sheetName val="조명일위"/>
      <sheetName val="백룡교차로"/>
      <sheetName val="산정교차로"/>
      <sheetName val="신영교차로"/>
      <sheetName val="안전시설내역서"/>
      <sheetName val="STEEL BOX 단면설계(SEC.8)"/>
      <sheetName val="부대"/>
      <sheetName val="을_ATYPE"/>
      <sheetName val="hvac(제어동)"/>
      <sheetName val="CATV"/>
      <sheetName val="부표총괄"/>
      <sheetName val="WORK"/>
      <sheetName val="ITB COST"/>
      <sheetName val="Sheet10"/>
      <sheetName val="손익분석"/>
      <sheetName val="간접경상비"/>
      <sheetName val="s"/>
      <sheetName val="Breakdown"/>
      <sheetName val="UnitRate"/>
      <sheetName val="c_balju"/>
      <sheetName val="소방사항"/>
      <sheetName val="BLR 1"/>
      <sheetName val="GEN"/>
      <sheetName val="GAS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간접비내역-1"/>
      <sheetName val="시화점실행"/>
      <sheetName val="내역서1999.8최종"/>
      <sheetName val="물가자료"/>
      <sheetName val="KMT물량"/>
      <sheetName val="단면가정"/>
      <sheetName val="당진1,2호기전선관설치및접지4차공사내역서-을지"/>
      <sheetName val="원형맨홀수량"/>
      <sheetName val="ABUT수량-A1"/>
      <sheetName val="기계"/>
      <sheetName val="자재단가비교표"/>
      <sheetName val="TB-내역서"/>
      <sheetName val="포장복구집계"/>
      <sheetName val="식재일위"/>
      <sheetName val="경비"/>
      <sheetName val="건축내역서"/>
      <sheetName val="설비내역서"/>
      <sheetName val="전기내역서"/>
      <sheetName val="토공집계표"/>
      <sheetName val="S0"/>
      <sheetName val="견적단가"/>
      <sheetName val="수량-가로등"/>
      <sheetName val="골조시행"/>
      <sheetName val="돌담교 상부수량"/>
      <sheetName val="참조"/>
      <sheetName val="작성"/>
      <sheetName val="HVAC"/>
      <sheetName val="설계기준"/>
      <sheetName val="지수"/>
      <sheetName val="거래처등록"/>
      <sheetName val="참고자료"/>
      <sheetName val="유류대관리"/>
      <sheetName val="기계내역서"/>
      <sheetName val="97 사업추정(WEKI)"/>
      <sheetName val="CB"/>
      <sheetName val="우수공"/>
      <sheetName val="기계내역"/>
      <sheetName val="인부신상자료"/>
      <sheetName val="1.설계조건"/>
      <sheetName val="CSA-Rate Build Up"/>
      <sheetName val="SOURCE"/>
      <sheetName val="기둥(원형)"/>
      <sheetName val="단면 (2)"/>
      <sheetName val="2000년1차"/>
      <sheetName val="2000전체분"/>
      <sheetName val="Eq. Mobilization"/>
      <sheetName val="견적대비"/>
      <sheetName val="단가조사서"/>
      <sheetName val="목차"/>
      <sheetName val="시멘트"/>
      <sheetName val="부산4"/>
      <sheetName val="건축공사"/>
      <sheetName val="설계개요"/>
      <sheetName val="백암비스타내역"/>
      <sheetName val="주경기-오배수"/>
      <sheetName val="기기리스트"/>
      <sheetName val="Chiet tinh dz35"/>
      <sheetName val="암거공"/>
      <sheetName val="중기일위대가"/>
      <sheetName val="열린교실"/>
      <sheetName val="의왕내역"/>
      <sheetName val="Sheet4"/>
      <sheetName val="108동"/>
      <sheetName val="101동"/>
      <sheetName val="7~8사이내림기초"/>
      <sheetName val="결재갑지"/>
      <sheetName val="원본"/>
      <sheetName val="미지급금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굴착시간주간집계표"/>
      <sheetName val="장비고장시간주간"/>
      <sheetName val="콘크리트타설집계표"/>
      <sheetName val="공사진행"/>
      <sheetName val="작업분석"/>
      <sheetName val="지층효율(HG,BC)"/>
      <sheetName val=" 지층효율(BC)"/>
      <sheetName val="지질주상도"/>
      <sheetName val="단가산출"/>
      <sheetName val="45,46"/>
      <sheetName val="Total"/>
      <sheetName val="코드표"/>
      <sheetName val="입력"/>
      <sheetName val="울산자동제어"/>
      <sheetName val="갑지(추정)"/>
      <sheetName val="Sheet5"/>
      <sheetName val="덕전리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KUN"/>
      <sheetName val="GAEYO"/>
      <sheetName val="갑지(추정)"/>
      <sheetName val="간접"/>
      <sheetName val="콘크리트타설집계표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대림경상68억"/>
      <sheetName val="일위대가"/>
      <sheetName val="내역"/>
      <sheetName val="공문"/>
      <sheetName val="집계표"/>
      <sheetName val="#REF"/>
      <sheetName val="물량표"/>
      <sheetName val="갑지"/>
      <sheetName val="내역서"/>
      <sheetName val="구미4단2"/>
      <sheetName val="실행철강하도"/>
      <sheetName val="_REF"/>
      <sheetName val="Apt내역"/>
      <sheetName val="인천제철"/>
      <sheetName val="FAX"/>
      <sheetName val="한강운반비"/>
      <sheetName val="Sheet4"/>
      <sheetName val="규격"/>
      <sheetName val="연습"/>
      <sheetName val="해외(원화)"/>
      <sheetName val="갑지(추정)"/>
      <sheetName val="시화점실행"/>
      <sheetName val="노임"/>
      <sheetName val="3.공통공사대비"/>
      <sheetName val="단가조사"/>
      <sheetName val="준검 내역서"/>
      <sheetName val="9GNG운반"/>
      <sheetName val="강교(Sub)"/>
      <sheetName val="일반토공견적"/>
      <sheetName val="보험료"/>
      <sheetName val="조명시설"/>
      <sheetName val="터파기및재료"/>
      <sheetName val="입력"/>
      <sheetName val="부전지"/>
      <sheetName val="청천내"/>
      <sheetName val="데이타"/>
      <sheetName val="예산대비"/>
      <sheetName val="DATE"/>
      <sheetName val="수량산출"/>
      <sheetName val="데리네이타현황"/>
      <sheetName val="원가서"/>
      <sheetName val="기초단가"/>
      <sheetName val="APT"/>
      <sheetName val="주안3차A-A"/>
      <sheetName val="중기사용료"/>
      <sheetName val="G.R300경비"/>
      <sheetName val="표지"/>
      <sheetName val="구의33고"/>
      <sheetName val="기안"/>
      <sheetName val="Total"/>
      <sheetName val="총괄"/>
      <sheetName val="단가"/>
      <sheetName val="인건비 "/>
      <sheetName val="인사자료총집계"/>
      <sheetName val="일위대가(1)"/>
      <sheetName val="N賃率-職"/>
      <sheetName val="마산월령동골조물량변경"/>
      <sheetName val="일위"/>
      <sheetName val="진천방향"/>
      <sheetName val="기본단가"/>
      <sheetName val="구조물공"/>
      <sheetName val="부대공"/>
      <sheetName val="배수공"/>
      <sheetName val="토공"/>
      <sheetName val="포장공"/>
      <sheetName val="소방사항"/>
      <sheetName val="실행내역서 "/>
      <sheetName val="DHEQSUPT"/>
      <sheetName val="9-1차이내역"/>
      <sheetName val="골조시행"/>
      <sheetName val="유림골조"/>
      <sheetName val="비교1"/>
      <sheetName val="관로공표지"/>
      <sheetName val="영동(D)"/>
      <sheetName val="실행(1)"/>
      <sheetName val="중기경유지급대장"/>
      <sheetName val="입찰안"/>
      <sheetName val="단가산출"/>
      <sheetName val="BQ(실행)"/>
      <sheetName val="기본DATA"/>
      <sheetName val="98수문일위"/>
      <sheetName val="자재"/>
      <sheetName val="Sheet1"/>
      <sheetName val="금액내역서"/>
      <sheetName val="제잡비"/>
      <sheetName val="통합보할공정표"/>
      <sheetName val="노임이"/>
      <sheetName val="유림총괄"/>
      <sheetName val="가. 2006년 사업계획서"/>
      <sheetName val="집행현황"/>
      <sheetName val="MIJIBI"/>
      <sheetName val="XL4Poppy"/>
      <sheetName val="비용"/>
      <sheetName val="건축내역서 (경제상무실)"/>
      <sheetName val="현장경상비"/>
      <sheetName val="도급원가"/>
      <sheetName val="내역서적용"/>
      <sheetName val="(A)내역서"/>
      <sheetName val="공사"/>
      <sheetName val="콘크리트타설집계표"/>
      <sheetName val="시운전연료"/>
      <sheetName val="I一般比"/>
      <sheetName val="database"/>
      <sheetName val="설계내역서"/>
      <sheetName val="인제내역"/>
      <sheetName val="식재"/>
      <sheetName val="시설물"/>
      <sheetName val="식재출력용"/>
      <sheetName val="유지관리"/>
      <sheetName val="변경내역을"/>
      <sheetName val="교통대책내역"/>
      <sheetName val="전기단가조사서"/>
      <sheetName val="EACT10"/>
      <sheetName val="집계"/>
      <sheetName val="원가"/>
      <sheetName val="편입용지조서"/>
      <sheetName val="bid"/>
      <sheetName val="MOTOR"/>
      <sheetName val="토목(대안)"/>
      <sheetName val="부대tu"/>
      <sheetName val="inputdata"/>
      <sheetName val="기본자료"/>
      <sheetName val="면적"/>
      <sheetName val="목포전화국"/>
      <sheetName val="s"/>
      <sheetName val="산출내역서집계표"/>
      <sheetName val="입찰"/>
      <sheetName val="현경"/>
      <sheetName val="노임단가"/>
      <sheetName val="2000년1차"/>
      <sheetName val="배관배선 단가조사"/>
      <sheetName val="일위대가집계"/>
      <sheetName val="설계예산서"/>
      <sheetName val="설비"/>
      <sheetName val="P1"/>
      <sheetName val="매매"/>
      <sheetName val="전신"/>
      <sheetName val="A-4"/>
      <sheetName val="연결임시"/>
      <sheetName val="목재동바리"/>
      <sheetName val="출력X"/>
      <sheetName val="SUMMARY"/>
      <sheetName val="PAINT"/>
      <sheetName val="매립"/>
      <sheetName val="견적"/>
      <sheetName val="내역_FILE"/>
      <sheetName val="대치판정"/>
      <sheetName val="Sheet6"/>
      <sheetName val="Salary(해외)"/>
      <sheetName val="연돌일위집계"/>
      <sheetName val="개산공사비"/>
      <sheetName val="견적사양비교표"/>
      <sheetName val="설비견적"/>
      <sheetName val="확약서"/>
      <sheetName val="연부97-1"/>
      <sheetName val="점수계산1-2"/>
      <sheetName val="신우"/>
      <sheetName val="기초일위"/>
      <sheetName val="98지급계획"/>
      <sheetName val="집수A"/>
      <sheetName val="집수정(600-700)"/>
      <sheetName val="주차구획선수량"/>
      <sheetName val="단가목록"/>
      <sheetName val="TYPE-A"/>
      <sheetName val="BJJIN"/>
      <sheetName val="단중표"/>
      <sheetName val="개요"/>
      <sheetName val="***********************00"/>
      <sheetName val="수목데이타 "/>
      <sheetName val="96보완계획7.12"/>
      <sheetName val="내역서단가산출용"/>
      <sheetName val="원가계산서(남측)"/>
      <sheetName val="총물량"/>
      <sheetName val="음료실행"/>
      <sheetName val="원가계산(2)"/>
      <sheetName val="원가계산"/>
      <sheetName val="일위대가표"/>
      <sheetName val="설비단가표"/>
      <sheetName val="배수관공"/>
      <sheetName val="금호"/>
      <sheetName val="파이프류"/>
      <sheetName val="설계명세"/>
      <sheetName val="COPING"/>
      <sheetName val="건축내역"/>
      <sheetName val="해평견적"/>
      <sheetName val="6호기"/>
      <sheetName val="건설성적"/>
      <sheetName val="98NS-N"/>
      <sheetName val="식재인부"/>
      <sheetName val="wall"/>
      <sheetName val="공사개요"/>
      <sheetName val="건축공사"/>
      <sheetName val="공통비(전체)"/>
      <sheetName val="계획고"/>
      <sheetName val="CAL"/>
      <sheetName val="전기"/>
      <sheetName val="일위대가(가설)"/>
      <sheetName val="정부노임단가"/>
      <sheetName val="월별손익"/>
      <sheetName val="전기공사"/>
      <sheetName val="코드"/>
      <sheetName val="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 계 표"/>
      <sheetName val="JCT"/>
      <sheetName val="단면 (2)"/>
      <sheetName val="내역"/>
      <sheetName val="차액보증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개산공사비"/>
      <sheetName val="증가분"/>
      <sheetName val="증가수정"/>
      <sheetName val="문의사항"/>
      <sheetName val="군포금정"/>
      <sheetName val="집 계 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약품공급2"/>
      <sheetName val="조명율표"/>
      <sheetName val="투찰내역"/>
      <sheetName val="조명일위"/>
      <sheetName val="조경일람"/>
      <sheetName val="단가일람"/>
      <sheetName val="차액보증"/>
      <sheetName val="부대공사비"/>
      <sheetName val="#REF"/>
      <sheetName val="내역서"/>
      <sheetName val="BID"/>
      <sheetName val="SLAB데이터"/>
      <sheetName val="간접1"/>
      <sheetName val="99총공사내역서"/>
      <sheetName val="퍼스트"/>
      <sheetName val="C1ㅇ"/>
      <sheetName val="실행내역"/>
      <sheetName val="접지수량"/>
      <sheetName val="지질조사"/>
      <sheetName val="정부노임단가"/>
      <sheetName val="노임"/>
      <sheetName val="원가계산서"/>
      <sheetName val="Total 단위경유량집계"/>
      <sheetName val="MOTOR"/>
      <sheetName val="CALCULATION"/>
      <sheetName val="전체제잡비"/>
      <sheetName val="산근"/>
      <sheetName val="조명시설"/>
      <sheetName val="RE9604"/>
      <sheetName val="DANGA"/>
      <sheetName val="일위대가"/>
      <sheetName val="마산월령동골조물량변경"/>
      <sheetName val="sheet1"/>
      <sheetName val="건축내역"/>
      <sheetName val="N賃率-職"/>
      <sheetName val="기계경비(시간당)"/>
      <sheetName val="단가"/>
      <sheetName val="DB"/>
      <sheetName val="설계조건"/>
      <sheetName val="기본단가표"/>
      <sheetName val="재료집계표"/>
      <sheetName val="잡철물"/>
      <sheetName val="실행철강하도"/>
      <sheetName val="BH-1 (2)"/>
      <sheetName val="표  지"/>
      <sheetName val="직노"/>
      <sheetName val="ITEM"/>
      <sheetName val="산출근거"/>
      <sheetName val="준검 내역서"/>
      <sheetName val="1,2공구원가계산서"/>
      <sheetName val="2공구산출내역"/>
      <sheetName val="1공구산출내역서"/>
      <sheetName val="제경비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SIL98"/>
      <sheetName val="관급"/>
      <sheetName val="내역(원안-대안)"/>
      <sheetName val="품셈TABLE"/>
      <sheetName val="항목(1)"/>
      <sheetName val="총괄표"/>
      <sheetName val="일위목록"/>
      <sheetName val="요율"/>
      <sheetName val="공문"/>
      <sheetName val="설비2차"/>
      <sheetName val="기계경비일람"/>
      <sheetName val="금액내역서"/>
      <sheetName val="1.수인터널"/>
      <sheetName val="결재갑지"/>
      <sheetName val="6호기"/>
      <sheetName val="교각1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NYS"/>
      <sheetName val="대포2교접속"/>
      <sheetName val="천방교접속"/>
      <sheetName val="하남내역"/>
      <sheetName val="내역서(전기)"/>
      <sheetName val="앉음벽 (2)"/>
      <sheetName val="5회토적"/>
      <sheetName val="총괄내역서"/>
      <sheetName val="hvac(제어동)"/>
      <sheetName val="직공비"/>
      <sheetName val="일위대가표"/>
      <sheetName val="자재일람"/>
      <sheetName val="노임단가"/>
      <sheetName val="단위단가"/>
      <sheetName val="수량산출서"/>
      <sheetName val="예산서"/>
      <sheetName val="내역(중앙)"/>
      <sheetName val="일반공사"/>
      <sheetName val="현장지지물물량"/>
      <sheetName val="98지급계획"/>
      <sheetName val="금융비용"/>
      <sheetName val="금호"/>
      <sheetName val="제안서"/>
      <sheetName val="행정표준(1)"/>
      <sheetName val="행정표준(2)"/>
      <sheetName val="4.전기"/>
      <sheetName val="공사비예산서(토목분)"/>
      <sheetName val="관리비비계상"/>
      <sheetName val="예가내역서"/>
      <sheetName val="경비2내역"/>
      <sheetName val="현장설명"/>
      <sheetName val="자료"/>
      <sheetName val="간접(90)"/>
      <sheetName val="참조"/>
      <sheetName val="산출내역서"/>
      <sheetName val="ABUT수량-A1"/>
      <sheetName val="I.설계조건"/>
      <sheetName val="참조-(1)"/>
      <sheetName val="원가계산서구조조정"/>
      <sheetName val="접지1종"/>
      <sheetName val="조경"/>
      <sheetName val="설계내역서"/>
      <sheetName val="여과지동"/>
      <sheetName val="기초자료"/>
      <sheetName val="일반부표"/>
      <sheetName val="7. 현장관리비 "/>
      <sheetName val="6. 안전관리비"/>
      <sheetName val="ancillary"/>
      <sheetName val="실행(1)"/>
      <sheetName val="전기내역서(총계)"/>
      <sheetName val="견적조건"/>
      <sheetName val="터파기및재료"/>
      <sheetName val="초기화면"/>
      <sheetName val="폐기물"/>
      <sheetName val="인원계획"/>
      <sheetName val="타공종이기"/>
      <sheetName val="오저간내역서"/>
      <sheetName val="도급"/>
      <sheetName val="전기"/>
      <sheetName val="토공A"/>
      <sheetName val="예산변경원인분석"/>
      <sheetName val="DATA"/>
      <sheetName val="_HIT__HMC 견적_3900_"/>
      <sheetName val="작성방법"/>
      <sheetName val="구조물견적서"/>
      <sheetName val="asd"/>
      <sheetName val="이형관"/>
      <sheetName val="분뇨"/>
      <sheetName val="단가산출"/>
      <sheetName val="원가"/>
      <sheetName val="설계예산서"/>
      <sheetName val="ilch"/>
      <sheetName val="1.설계조건"/>
      <sheetName val="세부내역"/>
      <sheetName val="운반"/>
      <sheetName val="데이타"/>
      <sheetName val="소포내역 (2)"/>
      <sheetName val="INPUT"/>
      <sheetName val="입력데이타"/>
      <sheetName val="노원열병합  건축공사기성내역서"/>
      <sheetName val="도급-집계"/>
      <sheetName val="증감내역서"/>
      <sheetName val="001"/>
      <sheetName val="대전21토목내역서"/>
      <sheetName val="말뚝지지력산정"/>
      <sheetName val="간접비계산"/>
      <sheetName val="적용단가"/>
      <sheetName val="bearing"/>
      <sheetName val="가격조사서"/>
      <sheetName val="검암내역"/>
      <sheetName val="백암비스타내역"/>
      <sheetName val="11.산출(전열)"/>
      <sheetName val="6.산출(동력)"/>
      <sheetName val="7.산출(TRAY)"/>
      <sheetName val="Total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문학간접"/>
      <sheetName val="조도계산서 (도서)"/>
      <sheetName val="대비"/>
      <sheetName val="보증수수료산출"/>
      <sheetName val="신호등일위대가"/>
      <sheetName val="을"/>
      <sheetName val="사업전망"/>
      <sheetName val="현장업무"/>
      <sheetName val="PIPING"/>
      <sheetName val="MSS 2"/>
      <sheetName val="전주2本1"/>
      <sheetName val="여수토토적"/>
      <sheetName val="구조물수량집계표"/>
      <sheetName val="우수관매설및 우수받이"/>
      <sheetName val="설계서(7)"/>
      <sheetName val="예산서(6)"/>
      <sheetName val="을-ATYPE"/>
      <sheetName val="제1호단위수량"/>
      <sheetName val="횡배위치"/>
      <sheetName val="기초일위"/>
      <sheetName val="시설일위"/>
      <sheetName val="신림자금"/>
      <sheetName val="운반비"/>
      <sheetName val="2000양배"/>
      <sheetName val="11.우각부 보강"/>
      <sheetName val="제출내역 (2)"/>
      <sheetName val="갑지"/>
      <sheetName val="추가예산"/>
      <sheetName val="8설7발"/>
      <sheetName val="인부노임"/>
      <sheetName val="소야공정계획표"/>
      <sheetName val="Resource2"/>
      <sheetName val="경비"/>
      <sheetName val="보고서 기기리스트"/>
      <sheetName val="일위대가목록"/>
      <sheetName val="품셈"/>
      <sheetName val="토목내역"/>
      <sheetName val="사급자재"/>
      <sheetName val="기계공사"/>
      <sheetName val="99월별경비계획"/>
      <sheetName val="3련 BOX"/>
      <sheetName val="토목주소"/>
      <sheetName val="분전반"/>
      <sheetName val="시멘트"/>
      <sheetName val="COVER"/>
      <sheetName val="자재단가"/>
      <sheetName val="공사원가계산서"/>
      <sheetName val="단가조사-2"/>
      <sheetName val="플랜트 설치"/>
      <sheetName val="명세서"/>
      <sheetName val="일위집계(기존)"/>
      <sheetName val="단가대비표"/>
      <sheetName val="할증"/>
      <sheetName val="배수내역"/>
      <sheetName val="현장관리비"/>
      <sheetName val="상-교대(A1-A2)"/>
      <sheetName val="부재예실1월"/>
      <sheetName val="Sheet3"/>
      <sheetName val="제품원재"/>
      <sheetName val="자재단가비교표"/>
      <sheetName val="건설성적"/>
      <sheetName val="내역(창신)"/>
      <sheetName val="13LPMCC"/>
      <sheetName val="코드표"/>
      <sheetName val="프로젝트"/>
      <sheetName val="2.1  노무비 평균단가산출"/>
      <sheetName val="A-4"/>
      <sheetName val="전체"/>
      <sheetName val="I一般比"/>
      <sheetName val="내역_ver1.0"/>
      <sheetName val="적용표"/>
      <sheetName val="재료비"/>
      <sheetName val="역T형옹벽단위수량"/>
      <sheetName val="연결임시"/>
      <sheetName val="01AC"/>
      <sheetName val="정화조내역"/>
      <sheetName val="입력"/>
      <sheetName val="예산총괄"/>
      <sheetName val="70%"/>
      <sheetName val="전기실-1"/>
      <sheetName val="설계서(본관)"/>
      <sheetName val="내   역"/>
      <sheetName val="소비자가"/>
      <sheetName val="lee"/>
      <sheetName val="집계표소트"/>
      <sheetName val="중기일위대가"/>
      <sheetName val="plan&amp;section of foundation"/>
      <sheetName val="pile bearing capa &amp; arrenge"/>
      <sheetName val="working load at the btm ft."/>
      <sheetName val="stability check"/>
      <sheetName val="design criteria"/>
      <sheetName val="마산방향"/>
      <sheetName val="진주방향"/>
      <sheetName val="기초수량집"/>
      <sheetName val="type-F"/>
      <sheetName val="설계"/>
      <sheetName val="일위대가(1)"/>
      <sheetName val="원가+내역"/>
      <sheetName val="JUCKEYK"/>
      <sheetName val="배수내역 (2)"/>
      <sheetName val="간이영수증"/>
      <sheetName val="Macro1"/>
      <sheetName val="봉양~조차장간고하개명(신설)"/>
      <sheetName val="측구터파기공수량집계"/>
      <sheetName val="배수공 시멘트 및 골재량 산출"/>
      <sheetName val="용소리교"/>
      <sheetName val="토목"/>
      <sheetName val="물량표S"/>
      <sheetName val="Macro(차단기)"/>
      <sheetName val="A 견적"/>
      <sheetName val="전기일위목록"/>
      <sheetName val="교량"/>
      <sheetName val="광산내역"/>
      <sheetName val="내역원본"/>
      <sheetName val="결과조달"/>
      <sheetName val="소방사항"/>
      <sheetName val="단가집"/>
      <sheetName val="일위대가(가설)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원계약고시공및준비구분"/>
      <sheetName val="99-0002"/>
      <sheetName val="산출내역서집계표"/>
      <sheetName val="기본일위"/>
      <sheetName val="모델명"/>
      <sheetName val="원가총괄"/>
      <sheetName val="수량산출"/>
      <sheetName val="갑지(추정)"/>
      <sheetName val="날개벽수량표"/>
      <sheetName val="unit 4"/>
      <sheetName val="견적서"/>
      <sheetName val="EBSDATA"/>
      <sheetName val="단가조건(02년)"/>
      <sheetName val="기성내역"/>
      <sheetName val="공통가설"/>
      <sheetName val="조건표"/>
      <sheetName val="현금흐름"/>
      <sheetName val="기초코드"/>
      <sheetName val="편입토지조서"/>
      <sheetName val="배수통관(좌)"/>
      <sheetName val="건축공사"/>
      <sheetName val="부대내역"/>
      <sheetName val="TYPE-A"/>
      <sheetName val="6PILE  (돌출)"/>
      <sheetName val=" HIT-&gt;HMC 견적(3900)"/>
      <sheetName val="인사자료총집계"/>
      <sheetName val="바닥판"/>
      <sheetName val="입력DATA"/>
      <sheetName val="SHEET PILE단가"/>
      <sheetName val="수정2"/>
      <sheetName val="자재단가표"/>
      <sheetName val="b_balju"/>
      <sheetName val="일위"/>
      <sheetName val="장비단가표"/>
      <sheetName val="Customer Databas"/>
      <sheetName val="CORE#2"/>
      <sheetName val="목차 "/>
      <sheetName val="200"/>
      <sheetName val="SLAB"/>
      <sheetName val="퇴직금(울산천상)"/>
      <sheetName val="내역(가지)"/>
      <sheetName val="전기일위대가"/>
      <sheetName val="전 기"/>
      <sheetName val="일용노임단가"/>
      <sheetName val="spc 배관견적"/>
      <sheetName val="C97상"/>
      <sheetName val="#2_일위대가목록"/>
      <sheetName val="관급자재"/>
      <sheetName val="내역표지"/>
      <sheetName val="별첨1-임식"/>
      <sheetName val="기본자료"/>
      <sheetName val="부속동"/>
      <sheetName val="APT"/>
      <sheetName val="구간별관경"/>
      <sheetName val="기기리스트"/>
      <sheetName val="전라자금"/>
      <sheetName val="투찰추정"/>
      <sheetName val="검토"/>
      <sheetName val="INPUT-DATA"/>
      <sheetName val="총괄-1"/>
      <sheetName val="현장관리비참조"/>
      <sheetName val="인건비"/>
      <sheetName val="Sheet5"/>
      <sheetName val="접속도로1"/>
      <sheetName val="공사비총괄"/>
      <sheetName val="1"/>
      <sheetName val="노임이"/>
      <sheetName val="BH_1 _2_"/>
      <sheetName val="실행(ALT1)"/>
      <sheetName val="개인별 순위표"/>
      <sheetName val="INDEX"/>
      <sheetName val="프랜트면허"/>
      <sheetName val="냉천부속동"/>
      <sheetName val="네고율"/>
      <sheetName val="직재"/>
      <sheetName val="화재 탐지 설비"/>
      <sheetName val="시설물일위"/>
      <sheetName val="귀래 설계 공내역서"/>
      <sheetName val="FM"/>
      <sheetName val="재집"/>
      <sheetName val="총"/>
      <sheetName val="물량표"/>
      <sheetName val="오산갈곳"/>
      <sheetName val="입찰"/>
      <sheetName val="현경"/>
      <sheetName val="환율change"/>
      <sheetName val="당초"/>
      <sheetName val="단가표"/>
      <sheetName val="시화점실행"/>
      <sheetName val="기별(종합)"/>
      <sheetName val="101동"/>
      <sheetName val="협력업체"/>
      <sheetName val="코드1"/>
      <sheetName val="코드2"/>
      <sheetName val="설치"/>
      <sheetName val="d118"/>
      <sheetName val="1안"/>
      <sheetName val="BQ"/>
      <sheetName val="집계및폼"/>
      <sheetName val="04_10_11"/>
      <sheetName val="8.현장관리비"/>
      <sheetName val="7.안전관리비"/>
      <sheetName val="1.설계기준"/>
      <sheetName val="WING3"/>
      <sheetName val="전체_1설계"/>
      <sheetName val="중기"/>
      <sheetName val="파일구성"/>
      <sheetName val="동방설계서"/>
      <sheetName val="유입량"/>
      <sheetName val="1.취수장"/>
      <sheetName val="PAINT"/>
      <sheetName val="SUMMARY(S)"/>
      <sheetName val="Y-WORK"/>
      <sheetName val="내역서1"/>
      <sheetName val="전입"/>
      <sheetName val="중기사용료산출근거"/>
      <sheetName val="단가산출1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투입내역"/>
      <sheetName val="데리네이타현황"/>
      <sheetName val="SG"/>
      <sheetName val="공정증감대ㅈ표"/>
      <sheetName val="시설물기초"/>
      <sheetName val="예가표"/>
      <sheetName val="주관사업"/>
      <sheetName val="도담구내 개소별 명세"/>
      <sheetName val="공기압축기실"/>
      <sheetName val="계수시트"/>
      <sheetName val="손익분석"/>
      <sheetName val="EQT-ESTN"/>
      <sheetName val="장비"/>
      <sheetName val="노무"/>
      <sheetName val="세골재  T2 변경 현황"/>
      <sheetName val="정리계획CF평가"/>
      <sheetName val="설 계"/>
      <sheetName val="원도급"/>
      <sheetName val="하도급"/>
      <sheetName val="증감분석"/>
      <sheetName val="한전일위"/>
      <sheetName val="중기비"/>
      <sheetName val="신천3호용수로"/>
      <sheetName val="정산내역"/>
      <sheetName val="Cash Flow-1"/>
      <sheetName val="3.1공사현황 공정표"/>
      <sheetName val="단가(적용)"/>
      <sheetName val="지불내역(자재외)"/>
      <sheetName val="PAY"/>
      <sheetName val="정렬"/>
      <sheetName val="일위대가목차"/>
      <sheetName val="안정계산"/>
      <sheetName val="단면검토"/>
      <sheetName val="2000년하반기"/>
      <sheetName val="노임 단가"/>
      <sheetName val="전동기"/>
      <sheetName val="일위대가(집계)"/>
      <sheetName val="1유리"/>
      <sheetName val="공통단가"/>
      <sheetName val="수량산출서집계(1-4차)"/>
      <sheetName val="수지예산"/>
      <sheetName val="저장소"/>
      <sheetName val="내역집계"/>
      <sheetName val="재료"/>
      <sheetName val="직접경비호표"/>
      <sheetName val="손익차9월2"/>
      <sheetName val="원가서"/>
      <sheetName val="득점현황"/>
      <sheetName val="Sheet2"/>
      <sheetName val="분전반일위대가"/>
      <sheetName val="직접비"/>
      <sheetName val="자재co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재료값"/>
      <sheetName val="POL6차-PIPING"/>
      <sheetName val="품목납기"/>
      <sheetName val="대림경상68억"/>
      <sheetName val="유림골조"/>
      <sheetName val="별표 "/>
      <sheetName val="덕전리"/>
      <sheetName val="1,2,3,4,5단위수량"/>
      <sheetName val="계산표지"/>
      <sheetName val="노임변동률"/>
      <sheetName val="1월"/>
      <sheetName val="10공구일위"/>
      <sheetName val="재개발"/>
      <sheetName val="전기공사"/>
      <sheetName val="청천내"/>
      <sheetName val="6공구(당초)"/>
      <sheetName val="ELEC"/>
      <sheetName val="내역서 "/>
      <sheetName val="합계"/>
      <sheetName val="실행"/>
      <sheetName val="부서코드표"/>
      <sheetName val="인천제철"/>
      <sheetName val="중사"/>
      <sheetName val="건축"/>
      <sheetName val="단중표"/>
      <sheetName val="7"/>
      <sheetName val="投标材料清单 "/>
      <sheetName val="결재란"/>
      <sheetName val="조경수목"/>
      <sheetName val="퇴직공제부금"/>
      <sheetName val="평균노임"/>
      <sheetName val="분석"/>
      <sheetName val="시운전연료비"/>
      <sheetName val="골조시행"/>
      <sheetName val="시운전연료"/>
      <sheetName val="입찰보고"/>
      <sheetName val="공사비산출내역"/>
      <sheetName val="TCDB"/>
      <sheetName val="BJJIN"/>
      <sheetName val="대공종"/>
      <sheetName val="집 계 표"/>
      <sheetName val="(1)본선수량집계"/>
      <sheetName val="개산공사비"/>
      <sheetName val="TOT"/>
      <sheetName val="Macro(전선)"/>
      <sheetName val="공량산출서"/>
      <sheetName val="98수문일위"/>
      <sheetName val="원형1호맨홀토공수량"/>
      <sheetName val="검색방"/>
      <sheetName val="3.공통공사대비"/>
      <sheetName val="sub"/>
      <sheetName val="자금청구"/>
      <sheetName val="관공일위대가"/>
      <sheetName val="관자재"/>
      <sheetName val="단가 및 재료비"/>
      <sheetName val="관접합및자재집계표"/>
      <sheetName val="업체자료"/>
      <sheetName val="MILL"/>
      <sheetName val="9GNG운반"/>
      <sheetName val="자료입력"/>
      <sheetName val="적용단위길이"/>
      <sheetName val="전기혼잡제경비(45)"/>
      <sheetName val="구의33고"/>
      <sheetName val="유림총괄"/>
      <sheetName val="AS복구"/>
      <sheetName val="중기터파기"/>
      <sheetName val="변수값"/>
      <sheetName val="중기상차"/>
      <sheetName val="코드"/>
      <sheetName val="연습"/>
      <sheetName val="장비단가"/>
      <sheetName val="공사비집계"/>
      <sheetName val="재료비단가"/>
      <sheetName val="제노임"/>
      <sheetName val="철거산출근거"/>
      <sheetName val="CODE"/>
      <sheetName val="내역서비교"/>
      <sheetName val="비주거용"/>
      <sheetName val="지구단위계획"/>
      <sheetName val="단가산출서"/>
      <sheetName val="인원"/>
      <sheetName val="RETAIL (ABOVE)"/>
      <sheetName val="5. 현장관리비(new) "/>
      <sheetName val="원본"/>
      <sheetName val="공사비총괄표"/>
      <sheetName val="집계장(대목_실행)"/>
      <sheetName val="건축내역서"/>
      <sheetName val="단가조사서"/>
      <sheetName val="준공정산"/>
      <sheetName val="상수도토공집계표"/>
      <sheetName val="MSS_2"/>
      <sheetName val="가설건물"/>
      <sheetName val="일위대가표48"/>
      <sheetName val="목차"/>
      <sheetName val="미드수량"/>
      <sheetName val="단면가정"/>
      <sheetName val="코드일람표2001년10월"/>
      <sheetName val="부대공(BOQ)"/>
      <sheetName val="사유서제출현황-2"/>
      <sheetName val="-배수구조총재료"/>
      <sheetName val="일위대㐀븁_x0000__x0000_退"/>
      <sheetName val="투찰가"/>
      <sheetName val="노임단가 (2)"/>
      <sheetName val="단가적용"/>
      <sheetName val="수량집계"/>
      <sheetName val="CC16-내역서"/>
      <sheetName val="남양내역"/>
      <sheetName val="MAIN_TABLE"/>
      <sheetName val="토공계산서(부체도로)"/>
      <sheetName val="하중계산"/>
      <sheetName val="중기사용료"/>
      <sheetName val="소화실적"/>
      <sheetName val="평3"/>
      <sheetName val="옥내소화전계산서"/>
      <sheetName val="관리,공감"/>
      <sheetName val="Sheet6"/>
      <sheetName val="인력터파기"/>
      <sheetName val="1공구(입찰내역)"/>
      <sheetName val="#3_일위대가목록"/>
      <sheetName val="정산을지"/>
      <sheetName val="6. 수량산출서"/>
      <sheetName val="2000노임기준"/>
      <sheetName val="단   산"/>
      <sheetName val="실    단"/>
      <sheetName val="INSTR"/>
      <sheetName val="점수계산1-2"/>
      <sheetName val="암거"/>
      <sheetName val="현금예금"/>
      <sheetName val="Sheet4"/>
      <sheetName val="심사물량"/>
      <sheetName val="인부신상자료"/>
      <sheetName val="횡배수관토공수량"/>
      <sheetName val="교각계산"/>
      <sheetName val="기본단가"/>
      <sheetName val="현장별"/>
      <sheetName val="1단계"/>
      <sheetName val="입찰견적보고서"/>
      <sheetName val="자동제어"/>
      <sheetName val="제품목록"/>
      <sheetName val="B"/>
      <sheetName val="대치판정"/>
      <sheetName val="시중노임단가"/>
      <sheetName val="7.공정표"/>
      <sheetName val="단면 (2)"/>
      <sheetName val="간접비(1)"/>
      <sheetName val="DHEQSUPT"/>
      <sheetName val="토사(PE)"/>
      <sheetName val="장비비 명세서1"/>
      <sheetName val="HVAC"/>
      <sheetName val="CODE1"/>
      <sheetName val="일위(시설)"/>
      <sheetName val="노무비 근거"/>
      <sheetName val="단가(반정1교-원주)"/>
      <sheetName val="몰탈"/>
      <sheetName val="조작대(1연)"/>
      <sheetName val="위치조서"/>
      <sheetName val="세부추진"/>
      <sheetName val="상용보강"/>
      <sheetName val="SHEET"/>
      <sheetName val="확정분요약"/>
      <sheetName val="확정분세부"/>
      <sheetName val="제잡비"/>
      <sheetName val="개요"/>
      <sheetName val="울산자금"/>
      <sheetName val="제수변 수량집계표(보통)"/>
      <sheetName val="현관"/>
      <sheetName val="동해title"/>
      <sheetName val="실행(표지,갑,을)"/>
      <sheetName val="96수출"/>
      <sheetName val="내역서을지"/>
      <sheetName val="wall"/>
      <sheetName val="일위대_x0000__x0000_Ԁ_x0000_䀀"/>
      <sheetName val="효율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Sheet16"/>
      <sheetName val="신고조서"/>
      <sheetName val="EJ"/>
      <sheetName val="표준건축비"/>
      <sheetName val="장비 (2)"/>
      <sheetName val="VE절감"/>
      <sheetName val="청주(철골발주의뢰서)"/>
      <sheetName val="분전함신설"/>
      <sheetName val="차수"/>
      <sheetName val="식재인부"/>
      <sheetName val="2.대외공문"/>
      <sheetName val="건축2"/>
      <sheetName val="본사인상전"/>
      <sheetName val="비교1"/>
      <sheetName val="일정"/>
      <sheetName val="일위단가"/>
      <sheetName val="SHL"/>
      <sheetName val="적용환율"/>
      <sheetName val="김해토지조서"/>
      <sheetName val="공정코드"/>
      <sheetName val="통신물량"/>
      <sheetName val="기본"/>
      <sheetName val="Eq. Mobilization"/>
      <sheetName val="가시설단위수량"/>
      <sheetName val="월별수입"/>
      <sheetName val="건축기술부대조건"/>
      <sheetName val="입력정보"/>
      <sheetName val="일위총괄"/>
      <sheetName val="이월"/>
      <sheetName val="위치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2_1__노무비_평균단가산출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A1"/>
      <sheetName val="단가조사"/>
      <sheetName val="재료비노무비"/>
      <sheetName val="2련간지"/>
      <sheetName val="범례표"/>
      <sheetName val="실지수기호표"/>
      <sheetName val="Baby일위대가"/>
      <sheetName val="주beam"/>
      <sheetName val="일위_파일"/>
      <sheetName val="이토변실(A3-LINE)"/>
      <sheetName val="guard(mac)"/>
      <sheetName val="COST"/>
      <sheetName val="공통(20-91)"/>
      <sheetName val="가설식당"/>
      <sheetName val="학생내역"/>
      <sheetName val=" 갑지"/>
      <sheetName val="기계실냉난방"/>
      <sheetName val="옥외외등집계표"/>
      <sheetName val="금리계산"/>
      <sheetName val="대운반(철재)"/>
      <sheetName val="산출"/>
      <sheetName val="소방"/>
      <sheetName val="예산코드"/>
      <sheetName val="원가입력"/>
      <sheetName val="기준"/>
      <sheetName val="철근량"/>
      <sheetName val="실행대비"/>
      <sheetName val="용수간선"/>
      <sheetName val=""/>
      <sheetName val="공사수행방안"/>
      <sheetName val="현장경비"/>
      <sheetName val="N賃率_職"/>
      <sheetName val="양식_자재단가조사표"/>
      <sheetName val="3BL공동구 수량"/>
      <sheetName val="전선 및 전선관"/>
      <sheetName val="공조기"/>
      <sheetName val="CM 1"/>
      <sheetName val="5.동별횡주관경"/>
      <sheetName val="도실건시"/>
      <sheetName val="제경비산출서"/>
      <sheetName val="전산망"/>
      <sheetName val="콘크리트타설집계표"/>
      <sheetName val="골조"/>
      <sheetName val="일위산출근거"/>
      <sheetName val="자동세륜기"/>
      <sheetName val="입력데이타(비인쇄용)"/>
      <sheetName val="기안"/>
      <sheetName val="에어샵공사"/>
      <sheetName val="전사 (2)"/>
      <sheetName val="BA (2)"/>
      <sheetName val="CP (2)"/>
      <sheetName val="시산표"/>
      <sheetName val="인건-측정"/>
      <sheetName val="울산자동제어"/>
      <sheetName val="실행내역서(DCU)"/>
      <sheetName val="노무비"/>
      <sheetName val="내역서1999.8최종"/>
      <sheetName val="APT내역"/>
      <sheetName val="부대시설"/>
      <sheetName val="Sheet17"/>
      <sheetName val="LF자재단가"/>
      <sheetName val="제품정보"/>
      <sheetName val="상품수불(합산)"/>
      <sheetName val="일위CODE"/>
      <sheetName val="동물이동통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49일위"/>
      <sheetName val="22일위"/>
      <sheetName val="sw1"/>
      <sheetName val="암거 제원표"/>
      <sheetName val="도급FORM"/>
      <sheetName val="Macro3"/>
      <sheetName val="목록"/>
      <sheetName val="맨홀토공"/>
      <sheetName val="맨홀수량산출"/>
      <sheetName val="Sheet1 (2)"/>
      <sheetName val="도수로현황"/>
      <sheetName val="일위대가집계"/>
      <sheetName val="기계실"/>
      <sheetName val="간접"/>
      <sheetName val="수량산출서 (2)"/>
      <sheetName val="재적표"/>
      <sheetName val="참조 (2)"/>
      <sheetName val="I_설계조_x0000_"/>
      <sheetName val="수량명세서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/>
      <sheetData sheetId="860"/>
      <sheetData sheetId="861"/>
      <sheetData sheetId="862"/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/>
      <sheetData sheetId="938"/>
      <sheetData sheetId="939"/>
      <sheetData sheetId="940" refreshError="1"/>
      <sheetData sheetId="941" refreshError="1"/>
      <sheetData sheetId="942"/>
      <sheetData sheetId="943" refreshError="1"/>
      <sheetData sheetId="944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/>
      <sheetData sheetId="974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KUN"/>
      <sheetName val="GAEYO"/>
      <sheetName val="갑지(추정)"/>
      <sheetName val="손익분석"/>
      <sheetName val="200"/>
      <sheetName val="영창26"/>
      <sheetName val="입찰안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17"/>
  <sheetViews>
    <sheetView tabSelected="1" view="pageBreakPreview" zoomScale="85" zoomScaleNormal="100" zoomScaleSheetLayoutView="85" workbookViewId="0">
      <selection activeCell="L11" sqref="L11"/>
    </sheetView>
  </sheetViews>
  <sheetFormatPr defaultRowHeight="13.5"/>
  <cols>
    <col min="1" max="1" width="9.5" style="65" customWidth="1"/>
    <col min="2" max="4" width="9" style="65"/>
    <col min="5" max="5" width="14.5" style="65" customWidth="1"/>
    <col min="6" max="7" width="9" style="65"/>
    <col min="8" max="9" width="4.5" style="65" customWidth="1"/>
    <col min="10" max="10" width="12.125" style="65" customWidth="1"/>
    <col min="11" max="11" width="7.875" style="65" customWidth="1"/>
    <col min="12" max="12" width="14.375" style="65" customWidth="1"/>
    <col min="13" max="13" width="7.125" style="65" customWidth="1"/>
    <col min="14" max="14" width="14.75" style="65" customWidth="1"/>
    <col min="15" max="15" width="10.875" style="65" bestFit="1" customWidth="1"/>
    <col min="16" max="256" width="9" style="65"/>
    <col min="257" max="257" width="9.5" style="65" customWidth="1"/>
    <col min="258" max="260" width="9" style="65"/>
    <col min="261" max="261" width="15.25" style="65" customWidth="1"/>
    <col min="262" max="263" width="9" style="65"/>
    <col min="264" max="265" width="4.5" style="65" customWidth="1"/>
    <col min="266" max="266" width="4.875" style="65" customWidth="1"/>
    <col min="267" max="267" width="7.125" style="65" customWidth="1"/>
    <col min="268" max="268" width="14" style="65" customWidth="1"/>
    <col min="269" max="269" width="7.125" style="65" customWidth="1"/>
    <col min="270" max="270" width="14.75" style="65" customWidth="1"/>
    <col min="271" max="512" width="9" style="65"/>
    <col min="513" max="513" width="9.5" style="65" customWidth="1"/>
    <col min="514" max="516" width="9" style="65"/>
    <col min="517" max="517" width="15.25" style="65" customWidth="1"/>
    <col min="518" max="519" width="9" style="65"/>
    <col min="520" max="521" width="4.5" style="65" customWidth="1"/>
    <col min="522" max="522" width="4.875" style="65" customWidth="1"/>
    <col min="523" max="523" width="7.125" style="65" customWidth="1"/>
    <col min="524" max="524" width="14" style="65" customWidth="1"/>
    <col min="525" max="525" width="7.125" style="65" customWidth="1"/>
    <col min="526" max="526" width="14.75" style="65" customWidth="1"/>
    <col min="527" max="768" width="9" style="65"/>
    <col min="769" max="769" width="9.5" style="65" customWidth="1"/>
    <col min="770" max="772" width="9" style="65"/>
    <col min="773" max="773" width="15.25" style="65" customWidth="1"/>
    <col min="774" max="775" width="9" style="65"/>
    <col min="776" max="777" width="4.5" style="65" customWidth="1"/>
    <col min="778" max="778" width="4.875" style="65" customWidth="1"/>
    <col min="779" max="779" width="7.125" style="65" customWidth="1"/>
    <col min="780" max="780" width="14" style="65" customWidth="1"/>
    <col min="781" max="781" width="7.125" style="65" customWidth="1"/>
    <col min="782" max="782" width="14.75" style="65" customWidth="1"/>
    <col min="783" max="1024" width="9" style="65"/>
    <col min="1025" max="1025" width="9.5" style="65" customWidth="1"/>
    <col min="1026" max="1028" width="9" style="65"/>
    <col min="1029" max="1029" width="15.25" style="65" customWidth="1"/>
    <col min="1030" max="1031" width="9" style="65"/>
    <col min="1032" max="1033" width="4.5" style="65" customWidth="1"/>
    <col min="1034" max="1034" width="4.875" style="65" customWidth="1"/>
    <col min="1035" max="1035" width="7.125" style="65" customWidth="1"/>
    <col min="1036" max="1036" width="14" style="65" customWidth="1"/>
    <col min="1037" max="1037" width="7.125" style="65" customWidth="1"/>
    <col min="1038" max="1038" width="14.75" style="65" customWidth="1"/>
    <col min="1039" max="1280" width="9" style="65"/>
    <col min="1281" max="1281" width="9.5" style="65" customWidth="1"/>
    <col min="1282" max="1284" width="9" style="65"/>
    <col min="1285" max="1285" width="15.25" style="65" customWidth="1"/>
    <col min="1286" max="1287" width="9" style="65"/>
    <col min="1288" max="1289" width="4.5" style="65" customWidth="1"/>
    <col min="1290" max="1290" width="4.875" style="65" customWidth="1"/>
    <col min="1291" max="1291" width="7.125" style="65" customWidth="1"/>
    <col min="1292" max="1292" width="14" style="65" customWidth="1"/>
    <col min="1293" max="1293" width="7.125" style="65" customWidth="1"/>
    <col min="1294" max="1294" width="14.75" style="65" customWidth="1"/>
    <col min="1295" max="1536" width="9" style="65"/>
    <col min="1537" max="1537" width="9.5" style="65" customWidth="1"/>
    <col min="1538" max="1540" width="9" style="65"/>
    <col min="1541" max="1541" width="15.25" style="65" customWidth="1"/>
    <col min="1542" max="1543" width="9" style="65"/>
    <col min="1544" max="1545" width="4.5" style="65" customWidth="1"/>
    <col min="1546" max="1546" width="4.875" style="65" customWidth="1"/>
    <col min="1547" max="1547" width="7.125" style="65" customWidth="1"/>
    <col min="1548" max="1548" width="14" style="65" customWidth="1"/>
    <col min="1549" max="1549" width="7.125" style="65" customWidth="1"/>
    <col min="1550" max="1550" width="14.75" style="65" customWidth="1"/>
    <col min="1551" max="1792" width="9" style="65"/>
    <col min="1793" max="1793" width="9.5" style="65" customWidth="1"/>
    <col min="1794" max="1796" width="9" style="65"/>
    <col min="1797" max="1797" width="15.25" style="65" customWidth="1"/>
    <col min="1798" max="1799" width="9" style="65"/>
    <col min="1800" max="1801" width="4.5" style="65" customWidth="1"/>
    <col min="1802" max="1802" width="4.875" style="65" customWidth="1"/>
    <col min="1803" max="1803" width="7.125" style="65" customWidth="1"/>
    <col min="1804" max="1804" width="14" style="65" customWidth="1"/>
    <col min="1805" max="1805" width="7.125" style="65" customWidth="1"/>
    <col min="1806" max="1806" width="14.75" style="65" customWidth="1"/>
    <col min="1807" max="2048" width="9" style="65"/>
    <col min="2049" max="2049" width="9.5" style="65" customWidth="1"/>
    <col min="2050" max="2052" width="9" style="65"/>
    <col min="2053" max="2053" width="15.25" style="65" customWidth="1"/>
    <col min="2054" max="2055" width="9" style="65"/>
    <col min="2056" max="2057" width="4.5" style="65" customWidth="1"/>
    <col min="2058" max="2058" width="4.875" style="65" customWidth="1"/>
    <col min="2059" max="2059" width="7.125" style="65" customWidth="1"/>
    <col min="2060" max="2060" width="14" style="65" customWidth="1"/>
    <col min="2061" max="2061" width="7.125" style="65" customWidth="1"/>
    <col min="2062" max="2062" width="14.75" style="65" customWidth="1"/>
    <col min="2063" max="2304" width="9" style="65"/>
    <col min="2305" max="2305" width="9.5" style="65" customWidth="1"/>
    <col min="2306" max="2308" width="9" style="65"/>
    <col min="2309" max="2309" width="15.25" style="65" customWidth="1"/>
    <col min="2310" max="2311" width="9" style="65"/>
    <col min="2312" max="2313" width="4.5" style="65" customWidth="1"/>
    <col min="2314" max="2314" width="4.875" style="65" customWidth="1"/>
    <col min="2315" max="2315" width="7.125" style="65" customWidth="1"/>
    <col min="2316" max="2316" width="14" style="65" customWidth="1"/>
    <col min="2317" max="2317" width="7.125" style="65" customWidth="1"/>
    <col min="2318" max="2318" width="14.75" style="65" customWidth="1"/>
    <col min="2319" max="2560" width="9" style="65"/>
    <col min="2561" max="2561" width="9.5" style="65" customWidth="1"/>
    <col min="2562" max="2564" width="9" style="65"/>
    <col min="2565" max="2565" width="15.25" style="65" customWidth="1"/>
    <col min="2566" max="2567" width="9" style="65"/>
    <col min="2568" max="2569" width="4.5" style="65" customWidth="1"/>
    <col min="2570" max="2570" width="4.875" style="65" customWidth="1"/>
    <col min="2571" max="2571" width="7.125" style="65" customWidth="1"/>
    <col min="2572" max="2572" width="14" style="65" customWidth="1"/>
    <col min="2573" max="2573" width="7.125" style="65" customWidth="1"/>
    <col min="2574" max="2574" width="14.75" style="65" customWidth="1"/>
    <col min="2575" max="2816" width="9" style="65"/>
    <col min="2817" max="2817" width="9.5" style="65" customWidth="1"/>
    <col min="2818" max="2820" width="9" style="65"/>
    <col min="2821" max="2821" width="15.25" style="65" customWidth="1"/>
    <col min="2822" max="2823" width="9" style="65"/>
    <col min="2824" max="2825" width="4.5" style="65" customWidth="1"/>
    <col min="2826" max="2826" width="4.875" style="65" customWidth="1"/>
    <col min="2827" max="2827" width="7.125" style="65" customWidth="1"/>
    <col min="2828" max="2828" width="14" style="65" customWidth="1"/>
    <col min="2829" max="2829" width="7.125" style="65" customWidth="1"/>
    <col min="2830" max="2830" width="14.75" style="65" customWidth="1"/>
    <col min="2831" max="3072" width="9" style="65"/>
    <col min="3073" max="3073" width="9.5" style="65" customWidth="1"/>
    <col min="3074" max="3076" width="9" style="65"/>
    <col min="3077" max="3077" width="15.25" style="65" customWidth="1"/>
    <col min="3078" max="3079" width="9" style="65"/>
    <col min="3080" max="3081" width="4.5" style="65" customWidth="1"/>
    <col min="3082" max="3082" width="4.875" style="65" customWidth="1"/>
    <col min="3083" max="3083" width="7.125" style="65" customWidth="1"/>
    <col min="3084" max="3084" width="14" style="65" customWidth="1"/>
    <col min="3085" max="3085" width="7.125" style="65" customWidth="1"/>
    <col min="3086" max="3086" width="14.75" style="65" customWidth="1"/>
    <col min="3087" max="3328" width="9" style="65"/>
    <col min="3329" max="3329" width="9.5" style="65" customWidth="1"/>
    <col min="3330" max="3332" width="9" style="65"/>
    <col min="3333" max="3333" width="15.25" style="65" customWidth="1"/>
    <col min="3334" max="3335" width="9" style="65"/>
    <col min="3336" max="3337" width="4.5" style="65" customWidth="1"/>
    <col min="3338" max="3338" width="4.875" style="65" customWidth="1"/>
    <col min="3339" max="3339" width="7.125" style="65" customWidth="1"/>
    <col min="3340" max="3340" width="14" style="65" customWidth="1"/>
    <col min="3341" max="3341" width="7.125" style="65" customWidth="1"/>
    <col min="3342" max="3342" width="14.75" style="65" customWidth="1"/>
    <col min="3343" max="3584" width="9" style="65"/>
    <col min="3585" max="3585" width="9.5" style="65" customWidth="1"/>
    <col min="3586" max="3588" width="9" style="65"/>
    <col min="3589" max="3589" width="15.25" style="65" customWidth="1"/>
    <col min="3590" max="3591" width="9" style="65"/>
    <col min="3592" max="3593" width="4.5" style="65" customWidth="1"/>
    <col min="3594" max="3594" width="4.875" style="65" customWidth="1"/>
    <col min="3595" max="3595" width="7.125" style="65" customWidth="1"/>
    <col min="3596" max="3596" width="14" style="65" customWidth="1"/>
    <col min="3597" max="3597" width="7.125" style="65" customWidth="1"/>
    <col min="3598" max="3598" width="14.75" style="65" customWidth="1"/>
    <col min="3599" max="3840" width="9" style="65"/>
    <col min="3841" max="3841" width="9.5" style="65" customWidth="1"/>
    <col min="3842" max="3844" width="9" style="65"/>
    <col min="3845" max="3845" width="15.25" style="65" customWidth="1"/>
    <col min="3846" max="3847" width="9" style="65"/>
    <col min="3848" max="3849" width="4.5" style="65" customWidth="1"/>
    <col min="3850" max="3850" width="4.875" style="65" customWidth="1"/>
    <col min="3851" max="3851" width="7.125" style="65" customWidth="1"/>
    <col min="3852" max="3852" width="14" style="65" customWidth="1"/>
    <col min="3853" max="3853" width="7.125" style="65" customWidth="1"/>
    <col min="3854" max="3854" width="14.75" style="65" customWidth="1"/>
    <col min="3855" max="4096" width="9" style="65"/>
    <col min="4097" max="4097" width="9.5" style="65" customWidth="1"/>
    <col min="4098" max="4100" width="9" style="65"/>
    <col min="4101" max="4101" width="15.25" style="65" customWidth="1"/>
    <col min="4102" max="4103" width="9" style="65"/>
    <col min="4104" max="4105" width="4.5" style="65" customWidth="1"/>
    <col min="4106" max="4106" width="4.875" style="65" customWidth="1"/>
    <col min="4107" max="4107" width="7.125" style="65" customWidth="1"/>
    <col min="4108" max="4108" width="14" style="65" customWidth="1"/>
    <col min="4109" max="4109" width="7.125" style="65" customWidth="1"/>
    <col min="4110" max="4110" width="14.75" style="65" customWidth="1"/>
    <col min="4111" max="4352" width="9" style="65"/>
    <col min="4353" max="4353" width="9.5" style="65" customWidth="1"/>
    <col min="4354" max="4356" width="9" style="65"/>
    <col min="4357" max="4357" width="15.25" style="65" customWidth="1"/>
    <col min="4358" max="4359" width="9" style="65"/>
    <col min="4360" max="4361" width="4.5" style="65" customWidth="1"/>
    <col min="4362" max="4362" width="4.875" style="65" customWidth="1"/>
    <col min="4363" max="4363" width="7.125" style="65" customWidth="1"/>
    <col min="4364" max="4364" width="14" style="65" customWidth="1"/>
    <col min="4365" max="4365" width="7.125" style="65" customWidth="1"/>
    <col min="4366" max="4366" width="14.75" style="65" customWidth="1"/>
    <col min="4367" max="4608" width="9" style="65"/>
    <col min="4609" max="4609" width="9.5" style="65" customWidth="1"/>
    <col min="4610" max="4612" width="9" style="65"/>
    <col min="4613" max="4613" width="15.25" style="65" customWidth="1"/>
    <col min="4614" max="4615" width="9" style="65"/>
    <col min="4616" max="4617" width="4.5" style="65" customWidth="1"/>
    <col min="4618" max="4618" width="4.875" style="65" customWidth="1"/>
    <col min="4619" max="4619" width="7.125" style="65" customWidth="1"/>
    <col min="4620" max="4620" width="14" style="65" customWidth="1"/>
    <col min="4621" max="4621" width="7.125" style="65" customWidth="1"/>
    <col min="4622" max="4622" width="14.75" style="65" customWidth="1"/>
    <col min="4623" max="4864" width="9" style="65"/>
    <col min="4865" max="4865" width="9.5" style="65" customWidth="1"/>
    <col min="4866" max="4868" width="9" style="65"/>
    <col min="4869" max="4869" width="15.25" style="65" customWidth="1"/>
    <col min="4870" max="4871" width="9" style="65"/>
    <col min="4872" max="4873" width="4.5" style="65" customWidth="1"/>
    <col min="4874" max="4874" width="4.875" style="65" customWidth="1"/>
    <col min="4875" max="4875" width="7.125" style="65" customWidth="1"/>
    <col min="4876" max="4876" width="14" style="65" customWidth="1"/>
    <col min="4877" max="4877" width="7.125" style="65" customWidth="1"/>
    <col min="4878" max="4878" width="14.75" style="65" customWidth="1"/>
    <col min="4879" max="5120" width="9" style="65"/>
    <col min="5121" max="5121" width="9.5" style="65" customWidth="1"/>
    <col min="5122" max="5124" width="9" style="65"/>
    <col min="5125" max="5125" width="15.25" style="65" customWidth="1"/>
    <col min="5126" max="5127" width="9" style="65"/>
    <col min="5128" max="5129" width="4.5" style="65" customWidth="1"/>
    <col min="5130" max="5130" width="4.875" style="65" customWidth="1"/>
    <col min="5131" max="5131" width="7.125" style="65" customWidth="1"/>
    <col min="5132" max="5132" width="14" style="65" customWidth="1"/>
    <col min="5133" max="5133" width="7.125" style="65" customWidth="1"/>
    <col min="5134" max="5134" width="14.75" style="65" customWidth="1"/>
    <col min="5135" max="5376" width="9" style="65"/>
    <col min="5377" max="5377" width="9.5" style="65" customWidth="1"/>
    <col min="5378" max="5380" width="9" style="65"/>
    <col min="5381" max="5381" width="15.25" style="65" customWidth="1"/>
    <col min="5382" max="5383" width="9" style="65"/>
    <col min="5384" max="5385" width="4.5" style="65" customWidth="1"/>
    <col min="5386" max="5386" width="4.875" style="65" customWidth="1"/>
    <col min="5387" max="5387" width="7.125" style="65" customWidth="1"/>
    <col min="5388" max="5388" width="14" style="65" customWidth="1"/>
    <col min="5389" max="5389" width="7.125" style="65" customWidth="1"/>
    <col min="5390" max="5390" width="14.75" style="65" customWidth="1"/>
    <col min="5391" max="5632" width="9" style="65"/>
    <col min="5633" max="5633" width="9.5" style="65" customWidth="1"/>
    <col min="5634" max="5636" width="9" style="65"/>
    <col min="5637" max="5637" width="15.25" style="65" customWidth="1"/>
    <col min="5638" max="5639" width="9" style="65"/>
    <col min="5640" max="5641" width="4.5" style="65" customWidth="1"/>
    <col min="5642" max="5642" width="4.875" style="65" customWidth="1"/>
    <col min="5643" max="5643" width="7.125" style="65" customWidth="1"/>
    <col min="5644" max="5644" width="14" style="65" customWidth="1"/>
    <col min="5645" max="5645" width="7.125" style="65" customWidth="1"/>
    <col min="5646" max="5646" width="14.75" style="65" customWidth="1"/>
    <col min="5647" max="5888" width="9" style="65"/>
    <col min="5889" max="5889" width="9.5" style="65" customWidth="1"/>
    <col min="5890" max="5892" width="9" style="65"/>
    <col min="5893" max="5893" width="15.25" style="65" customWidth="1"/>
    <col min="5894" max="5895" width="9" style="65"/>
    <col min="5896" max="5897" width="4.5" style="65" customWidth="1"/>
    <col min="5898" max="5898" width="4.875" style="65" customWidth="1"/>
    <col min="5899" max="5899" width="7.125" style="65" customWidth="1"/>
    <col min="5900" max="5900" width="14" style="65" customWidth="1"/>
    <col min="5901" max="5901" width="7.125" style="65" customWidth="1"/>
    <col min="5902" max="5902" width="14.75" style="65" customWidth="1"/>
    <col min="5903" max="6144" width="9" style="65"/>
    <col min="6145" max="6145" width="9.5" style="65" customWidth="1"/>
    <col min="6146" max="6148" width="9" style="65"/>
    <col min="6149" max="6149" width="15.25" style="65" customWidth="1"/>
    <col min="6150" max="6151" width="9" style="65"/>
    <col min="6152" max="6153" width="4.5" style="65" customWidth="1"/>
    <col min="6154" max="6154" width="4.875" style="65" customWidth="1"/>
    <col min="6155" max="6155" width="7.125" style="65" customWidth="1"/>
    <col min="6156" max="6156" width="14" style="65" customWidth="1"/>
    <col min="6157" max="6157" width="7.125" style="65" customWidth="1"/>
    <col min="6158" max="6158" width="14.75" style="65" customWidth="1"/>
    <col min="6159" max="6400" width="9" style="65"/>
    <col min="6401" max="6401" width="9.5" style="65" customWidth="1"/>
    <col min="6402" max="6404" width="9" style="65"/>
    <col min="6405" max="6405" width="15.25" style="65" customWidth="1"/>
    <col min="6406" max="6407" width="9" style="65"/>
    <col min="6408" max="6409" width="4.5" style="65" customWidth="1"/>
    <col min="6410" max="6410" width="4.875" style="65" customWidth="1"/>
    <col min="6411" max="6411" width="7.125" style="65" customWidth="1"/>
    <col min="6412" max="6412" width="14" style="65" customWidth="1"/>
    <col min="6413" max="6413" width="7.125" style="65" customWidth="1"/>
    <col min="6414" max="6414" width="14.75" style="65" customWidth="1"/>
    <col min="6415" max="6656" width="9" style="65"/>
    <col min="6657" max="6657" width="9.5" style="65" customWidth="1"/>
    <col min="6658" max="6660" width="9" style="65"/>
    <col min="6661" max="6661" width="15.25" style="65" customWidth="1"/>
    <col min="6662" max="6663" width="9" style="65"/>
    <col min="6664" max="6665" width="4.5" style="65" customWidth="1"/>
    <col min="6666" max="6666" width="4.875" style="65" customWidth="1"/>
    <col min="6667" max="6667" width="7.125" style="65" customWidth="1"/>
    <col min="6668" max="6668" width="14" style="65" customWidth="1"/>
    <col min="6669" max="6669" width="7.125" style="65" customWidth="1"/>
    <col min="6670" max="6670" width="14.75" style="65" customWidth="1"/>
    <col min="6671" max="6912" width="9" style="65"/>
    <col min="6913" max="6913" width="9.5" style="65" customWidth="1"/>
    <col min="6914" max="6916" width="9" style="65"/>
    <col min="6917" max="6917" width="15.25" style="65" customWidth="1"/>
    <col min="6918" max="6919" width="9" style="65"/>
    <col min="6920" max="6921" width="4.5" style="65" customWidth="1"/>
    <col min="6922" max="6922" width="4.875" style="65" customWidth="1"/>
    <col min="6923" max="6923" width="7.125" style="65" customWidth="1"/>
    <col min="6924" max="6924" width="14" style="65" customWidth="1"/>
    <col min="6925" max="6925" width="7.125" style="65" customWidth="1"/>
    <col min="6926" max="6926" width="14.75" style="65" customWidth="1"/>
    <col min="6927" max="7168" width="9" style="65"/>
    <col min="7169" max="7169" width="9.5" style="65" customWidth="1"/>
    <col min="7170" max="7172" width="9" style="65"/>
    <col min="7173" max="7173" width="15.25" style="65" customWidth="1"/>
    <col min="7174" max="7175" width="9" style="65"/>
    <col min="7176" max="7177" width="4.5" style="65" customWidth="1"/>
    <col min="7178" max="7178" width="4.875" style="65" customWidth="1"/>
    <col min="7179" max="7179" width="7.125" style="65" customWidth="1"/>
    <col min="7180" max="7180" width="14" style="65" customWidth="1"/>
    <col min="7181" max="7181" width="7.125" style="65" customWidth="1"/>
    <col min="7182" max="7182" width="14.75" style="65" customWidth="1"/>
    <col min="7183" max="7424" width="9" style="65"/>
    <col min="7425" max="7425" width="9.5" style="65" customWidth="1"/>
    <col min="7426" max="7428" width="9" style="65"/>
    <col min="7429" max="7429" width="15.25" style="65" customWidth="1"/>
    <col min="7430" max="7431" width="9" style="65"/>
    <col min="7432" max="7433" width="4.5" style="65" customWidth="1"/>
    <col min="7434" max="7434" width="4.875" style="65" customWidth="1"/>
    <col min="7435" max="7435" width="7.125" style="65" customWidth="1"/>
    <col min="7436" max="7436" width="14" style="65" customWidth="1"/>
    <col min="7437" max="7437" width="7.125" style="65" customWidth="1"/>
    <col min="7438" max="7438" width="14.75" style="65" customWidth="1"/>
    <col min="7439" max="7680" width="9" style="65"/>
    <col min="7681" max="7681" width="9.5" style="65" customWidth="1"/>
    <col min="7682" max="7684" width="9" style="65"/>
    <col min="7685" max="7685" width="15.25" style="65" customWidth="1"/>
    <col min="7686" max="7687" width="9" style="65"/>
    <col min="7688" max="7689" width="4.5" style="65" customWidth="1"/>
    <col min="7690" max="7690" width="4.875" style="65" customWidth="1"/>
    <col min="7691" max="7691" width="7.125" style="65" customWidth="1"/>
    <col min="7692" max="7692" width="14" style="65" customWidth="1"/>
    <col min="7693" max="7693" width="7.125" style="65" customWidth="1"/>
    <col min="7694" max="7694" width="14.75" style="65" customWidth="1"/>
    <col min="7695" max="7936" width="9" style="65"/>
    <col min="7937" max="7937" width="9.5" style="65" customWidth="1"/>
    <col min="7938" max="7940" width="9" style="65"/>
    <col min="7941" max="7941" width="15.25" style="65" customWidth="1"/>
    <col min="7942" max="7943" width="9" style="65"/>
    <col min="7944" max="7945" width="4.5" style="65" customWidth="1"/>
    <col min="7946" max="7946" width="4.875" style="65" customWidth="1"/>
    <col min="7947" max="7947" width="7.125" style="65" customWidth="1"/>
    <col min="7948" max="7948" width="14" style="65" customWidth="1"/>
    <col min="7949" max="7949" width="7.125" style="65" customWidth="1"/>
    <col min="7950" max="7950" width="14.75" style="65" customWidth="1"/>
    <col min="7951" max="8192" width="9" style="65"/>
    <col min="8193" max="8193" width="9.5" style="65" customWidth="1"/>
    <col min="8194" max="8196" width="9" style="65"/>
    <col min="8197" max="8197" width="15.25" style="65" customWidth="1"/>
    <col min="8198" max="8199" width="9" style="65"/>
    <col min="8200" max="8201" width="4.5" style="65" customWidth="1"/>
    <col min="8202" max="8202" width="4.875" style="65" customWidth="1"/>
    <col min="8203" max="8203" width="7.125" style="65" customWidth="1"/>
    <col min="8204" max="8204" width="14" style="65" customWidth="1"/>
    <col min="8205" max="8205" width="7.125" style="65" customWidth="1"/>
    <col min="8206" max="8206" width="14.75" style="65" customWidth="1"/>
    <col min="8207" max="8448" width="9" style="65"/>
    <col min="8449" max="8449" width="9.5" style="65" customWidth="1"/>
    <col min="8450" max="8452" width="9" style="65"/>
    <col min="8453" max="8453" width="15.25" style="65" customWidth="1"/>
    <col min="8454" max="8455" width="9" style="65"/>
    <col min="8456" max="8457" width="4.5" style="65" customWidth="1"/>
    <col min="8458" max="8458" width="4.875" style="65" customWidth="1"/>
    <col min="8459" max="8459" width="7.125" style="65" customWidth="1"/>
    <col min="8460" max="8460" width="14" style="65" customWidth="1"/>
    <col min="8461" max="8461" width="7.125" style="65" customWidth="1"/>
    <col min="8462" max="8462" width="14.75" style="65" customWidth="1"/>
    <col min="8463" max="8704" width="9" style="65"/>
    <col min="8705" max="8705" width="9.5" style="65" customWidth="1"/>
    <col min="8706" max="8708" width="9" style="65"/>
    <col min="8709" max="8709" width="15.25" style="65" customWidth="1"/>
    <col min="8710" max="8711" width="9" style="65"/>
    <col min="8712" max="8713" width="4.5" style="65" customWidth="1"/>
    <col min="8714" max="8714" width="4.875" style="65" customWidth="1"/>
    <col min="8715" max="8715" width="7.125" style="65" customWidth="1"/>
    <col min="8716" max="8716" width="14" style="65" customWidth="1"/>
    <col min="8717" max="8717" width="7.125" style="65" customWidth="1"/>
    <col min="8718" max="8718" width="14.75" style="65" customWidth="1"/>
    <col min="8719" max="8960" width="9" style="65"/>
    <col min="8961" max="8961" width="9.5" style="65" customWidth="1"/>
    <col min="8962" max="8964" width="9" style="65"/>
    <col min="8965" max="8965" width="15.25" style="65" customWidth="1"/>
    <col min="8966" max="8967" width="9" style="65"/>
    <col min="8968" max="8969" width="4.5" style="65" customWidth="1"/>
    <col min="8970" max="8970" width="4.875" style="65" customWidth="1"/>
    <col min="8971" max="8971" width="7.125" style="65" customWidth="1"/>
    <col min="8972" max="8972" width="14" style="65" customWidth="1"/>
    <col min="8973" max="8973" width="7.125" style="65" customWidth="1"/>
    <col min="8974" max="8974" width="14.75" style="65" customWidth="1"/>
    <col min="8975" max="9216" width="9" style="65"/>
    <col min="9217" max="9217" width="9.5" style="65" customWidth="1"/>
    <col min="9218" max="9220" width="9" style="65"/>
    <col min="9221" max="9221" width="15.25" style="65" customWidth="1"/>
    <col min="9222" max="9223" width="9" style="65"/>
    <col min="9224" max="9225" width="4.5" style="65" customWidth="1"/>
    <col min="9226" max="9226" width="4.875" style="65" customWidth="1"/>
    <col min="9227" max="9227" width="7.125" style="65" customWidth="1"/>
    <col min="9228" max="9228" width="14" style="65" customWidth="1"/>
    <col min="9229" max="9229" width="7.125" style="65" customWidth="1"/>
    <col min="9230" max="9230" width="14.75" style="65" customWidth="1"/>
    <col min="9231" max="9472" width="9" style="65"/>
    <col min="9473" max="9473" width="9.5" style="65" customWidth="1"/>
    <col min="9474" max="9476" width="9" style="65"/>
    <col min="9477" max="9477" width="15.25" style="65" customWidth="1"/>
    <col min="9478" max="9479" width="9" style="65"/>
    <col min="9480" max="9481" width="4.5" style="65" customWidth="1"/>
    <col min="9482" max="9482" width="4.875" style="65" customWidth="1"/>
    <col min="9483" max="9483" width="7.125" style="65" customWidth="1"/>
    <col min="9484" max="9484" width="14" style="65" customWidth="1"/>
    <col min="9485" max="9485" width="7.125" style="65" customWidth="1"/>
    <col min="9486" max="9486" width="14.75" style="65" customWidth="1"/>
    <col min="9487" max="9728" width="9" style="65"/>
    <col min="9729" max="9729" width="9.5" style="65" customWidth="1"/>
    <col min="9730" max="9732" width="9" style="65"/>
    <col min="9733" max="9733" width="15.25" style="65" customWidth="1"/>
    <col min="9734" max="9735" width="9" style="65"/>
    <col min="9736" max="9737" width="4.5" style="65" customWidth="1"/>
    <col min="9738" max="9738" width="4.875" style="65" customWidth="1"/>
    <col min="9739" max="9739" width="7.125" style="65" customWidth="1"/>
    <col min="9740" max="9740" width="14" style="65" customWidth="1"/>
    <col min="9741" max="9741" width="7.125" style="65" customWidth="1"/>
    <col min="9742" max="9742" width="14.75" style="65" customWidth="1"/>
    <col min="9743" max="9984" width="9" style="65"/>
    <col min="9985" max="9985" width="9.5" style="65" customWidth="1"/>
    <col min="9986" max="9988" width="9" style="65"/>
    <col min="9989" max="9989" width="15.25" style="65" customWidth="1"/>
    <col min="9990" max="9991" width="9" style="65"/>
    <col min="9992" max="9993" width="4.5" style="65" customWidth="1"/>
    <col min="9994" max="9994" width="4.875" style="65" customWidth="1"/>
    <col min="9995" max="9995" width="7.125" style="65" customWidth="1"/>
    <col min="9996" max="9996" width="14" style="65" customWidth="1"/>
    <col min="9997" max="9997" width="7.125" style="65" customWidth="1"/>
    <col min="9998" max="9998" width="14.75" style="65" customWidth="1"/>
    <col min="9999" max="10240" width="9" style="65"/>
    <col min="10241" max="10241" width="9.5" style="65" customWidth="1"/>
    <col min="10242" max="10244" width="9" style="65"/>
    <col min="10245" max="10245" width="15.25" style="65" customWidth="1"/>
    <col min="10246" max="10247" width="9" style="65"/>
    <col min="10248" max="10249" width="4.5" style="65" customWidth="1"/>
    <col min="10250" max="10250" width="4.875" style="65" customWidth="1"/>
    <col min="10251" max="10251" width="7.125" style="65" customWidth="1"/>
    <col min="10252" max="10252" width="14" style="65" customWidth="1"/>
    <col min="10253" max="10253" width="7.125" style="65" customWidth="1"/>
    <col min="10254" max="10254" width="14.75" style="65" customWidth="1"/>
    <col min="10255" max="10496" width="9" style="65"/>
    <col min="10497" max="10497" width="9.5" style="65" customWidth="1"/>
    <col min="10498" max="10500" width="9" style="65"/>
    <col min="10501" max="10501" width="15.25" style="65" customWidth="1"/>
    <col min="10502" max="10503" width="9" style="65"/>
    <col min="10504" max="10505" width="4.5" style="65" customWidth="1"/>
    <col min="10506" max="10506" width="4.875" style="65" customWidth="1"/>
    <col min="10507" max="10507" width="7.125" style="65" customWidth="1"/>
    <col min="10508" max="10508" width="14" style="65" customWidth="1"/>
    <col min="10509" max="10509" width="7.125" style="65" customWidth="1"/>
    <col min="10510" max="10510" width="14.75" style="65" customWidth="1"/>
    <col min="10511" max="10752" width="9" style="65"/>
    <col min="10753" max="10753" width="9.5" style="65" customWidth="1"/>
    <col min="10754" max="10756" width="9" style="65"/>
    <col min="10757" max="10757" width="15.25" style="65" customWidth="1"/>
    <col min="10758" max="10759" width="9" style="65"/>
    <col min="10760" max="10761" width="4.5" style="65" customWidth="1"/>
    <col min="10762" max="10762" width="4.875" style="65" customWidth="1"/>
    <col min="10763" max="10763" width="7.125" style="65" customWidth="1"/>
    <col min="10764" max="10764" width="14" style="65" customWidth="1"/>
    <col min="10765" max="10765" width="7.125" style="65" customWidth="1"/>
    <col min="10766" max="10766" width="14.75" style="65" customWidth="1"/>
    <col min="10767" max="11008" width="9" style="65"/>
    <col min="11009" max="11009" width="9.5" style="65" customWidth="1"/>
    <col min="11010" max="11012" width="9" style="65"/>
    <col min="11013" max="11013" width="15.25" style="65" customWidth="1"/>
    <col min="11014" max="11015" width="9" style="65"/>
    <col min="11016" max="11017" width="4.5" style="65" customWidth="1"/>
    <col min="11018" max="11018" width="4.875" style="65" customWidth="1"/>
    <col min="11019" max="11019" width="7.125" style="65" customWidth="1"/>
    <col min="11020" max="11020" width="14" style="65" customWidth="1"/>
    <col min="11021" max="11021" width="7.125" style="65" customWidth="1"/>
    <col min="11022" max="11022" width="14.75" style="65" customWidth="1"/>
    <col min="11023" max="11264" width="9" style="65"/>
    <col min="11265" max="11265" width="9.5" style="65" customWidth="1"/>
    <col min="11266" max="11268" width="9" style="65"/>
    <col min="11269" max="11269" width="15.25" style="65" customWidth="1"/>
    <col min="11270" max="11271" width="9" style="65"/>
    <col min="11272" max="11273" width="4.5" style="65" customWidth="1"/>
    <col min="11274" max="11274" width="4.875" style="65" customWidth="1"/>
    <col min="11275" max="11275" width="7.125" style="65" customWidth="1"/>
    <col min="11276" max="11276" width="14" style="65" customWidth="1"/>
    <col min="11277" max="11277" width="7.125" style="65" customWidth="1"/>
    <col min="11278" max="11278" width="14.75" style="65" customWidth="1"/>
    <col min="11279" max="11520" width="9" style="65"/>
    <col min="11521" max="11521" width="9.5" style="65" customWidth="1"/>
    <col min="11522" max="11524" width="9" style="65"/>
    <col min="11525" max="11525" width="15.25" style="65" customWidth="1"/>
    <col min="11526" max="11527" width="9" style="65"/>
    <col min="11528" max="11529" width="4.5" style="65" customWidth="1"/>
    <col min="11530" max="11530" width="4.875" style="65" customWidth="1"/>
    <col min="11531" max="11531" width="7.125" style="65" customWidth="1"/>
    <col min="11532" max="11532" width="14" style="65" customWidth="1"/>
    <col min="11533" max="11533" width="7.125" style="65" customWidth="1"/>
    <col min="11534" max="11534" width="14.75" style="65" customWidth="1"/>
    <col min="11535" max="11776" width="9" style="65"/>
    <col min="11777" max="11777" width="9.5" style="65" customWidth="1"/>
    <col min="11778" max="11780" width="9" style="65"/>
    <col min="11781" max="11781" width="15.25" style="65" customWidth="1"/>
    <col min="11782" max="11783" width="9" style="65"/>
    <col min="11784" max="11785" width="4.5" style="65" customWidth="1"/>
    <col min="11786" max="11786" width="4.875" style="65" customWidth="1"/>
    <col min="11787" max="11787" width="7.125" style="65" customWidth="1"/>
    <col min="11788" max="11788" width="14" style="65" customWidth="1"/>
    <col min="11789" max="11789" width="7.125" style="65" customWidth="1"/>
    <col min="11790" max="11790" width="14.75" style="65" customWidth="1"/>
    <col min="11791" max="12032" width="9" style="65"/>
    <col min="12033" max="12033" width="9.5" style="65" customWidth="1"/>
    <col min="12034" max="12036" width="9" style="65"/>
    <col min="12037" max="12037" width="15.25" style="65" customWidth="1"/>
    <col min="12038" max="12039" width="9" style="65"/>
    <col min="12040" max="12041" width="4.5" style="65" customWidth="1"/>
    <col min="12042" max="12042" width="4.875" style="65" customWidth="1"/>
    <col min="12043" max="12043" width="7.125" style="65" customWidth="1"/>
    <col min="12044" max="12044" width="14" style="65" customWidth="1"/>
    <col min="12045" max="12045" width="7.125" style="65" customWidth="1"/>
    <col min="12046" max="12046" width="14.75" style="65" customWidth="1"/>
    <col min="12047" max="12288" width="9" style="65"/>
    <col min="12289" max="12289" width="9.5" style="65" customWidth="1"/>
    <col min="12290" max="12292" width="9" style="65"/>
    <col min="12293" max="12293" width="15.25" style="65" customWidth="1"/>
    <col min="12294" max="12295" width="9" style="65"/>
    <col min="12296" max="12297" width="4.5" style="65" customWidth="1"/>
    <col min="12298" max="12298" width="4.875" style="65" customWidth="1"/>
    <col min="12299" max="12299" width="7.125" style="65" customWidth="1"/>
    <col min="12300" max="12300" width="14" style="65" customWidth="1"/>
    <col min="12301" max="12301" width="7.125" style="65" customWidth="1"/>
    <col min="12302" max="12302" width="14.75" style="65" customWidth="1"/>
    <col min="12303" max="12544" width="9" style="65"/>
    <col min="12545" max="12545" width="9.5" style="65" customWidth="1"/>
    <col min="12546" max="12548" width="9" style="65"/>
    <col min="12549" max="12549" width="15.25" style="65" customWidth="1"/>
    <col min="12550" max="12551" width="9" style="65"/>
    <col min="12552" max="12553" width="4.5" style="65" customWidth="1"/>
    <col min="12554" max="12554" width="4.875" style="65" customWidth="1"/>
    <col min="12555" max="12555" width="7.125" style="65" customWidth="1"/>
    <col min="12556" max="12556" width="14" style="65" customWidth="1"/>
    <col min="12557" max="12557" width="7.125" style="65" customWidth="1"/>
    <col min="12558" max="12558" width="14.75" style="65" customWidth="1"/>
    <col min="12559" max="12800" width="9" style="65"/>
    <col min="12801" max="12801" width="9.5" style="65" customWidth="1"/>
    <col min="12802" max="12804" width="9" style="65"/>
    <col min="12805" max="12805" width="15.25" style="65" customWidth="1"/>
    <col min="12806" max="12807" width="9" style="65"/>
    <col min="12808" max="12809" width="4.5" style="65" customWidth="1"/>
    <col min="12810" max="12810" width="4.875" style="65" customWidth="1"/>
    <col min="12811" max="12811" width="7.125" style="65" customWidth="1"/>
    <col min="12812" max="12812" width="14" style="65" customWidth="1"/>
    <col min="12813" max="12813" width="7.125" style="65" customWidth="1"/>
    <col min="12814" max="12814" width="14.75" style="65" customWidth="1"/>
    <col min="12815" max="13056" width="9" style="65"/>
    <col min="13057" max="13057" width="9.5" style="65" customWidth="1"/>
    <col min="13058" max="13060" width="9" style="65"/>
    <col min="13061" max="13061" width="15.25" style="65" customWidth="1"/>
    <col min="13062" max="13063" width="9" style="65"/>
    <col min="13064" max="13065" width="4.5" style="65" customWidth="1"/>
    <col min="13066" max="13066" width="4.875" style="65" customWidth="1"/>
    <col min="13067" max="13067" width="7.125" style="65" customWidth="1"/>
    <col min="13068" max="13068" width="14" style="65" customWidth="1"/>
    <col min="13069" max="13069" width="7.125" style="65" customWidth="1"/>
    <col min="13070" max="13070" width="14.75" style="65" customWidth="1"/>
    <col min="13071" max="13312" width="9" style="65"/>
    <col min="13313" max="13313" width="9.5" style="65" customWidth="1"/>
    <col min="13314" max="13316" width="9" style="65"/>
    <col min="13317" max="13317" width="15.25" style="65" customWidth="1"/>
    <col min="13318" max="13319" width="9" style="65"/>
    <col min="13320" max="13321" width="4.5" style="65" customWidth="1"/>
    <col min="13322" max="13322" width="4.875" style="65" customWidth="1"/>
    <col min="13323" max="13323" width="7.125" style="65" customWidth="1"/>
    <col min="13324" max="13324" width="14" style="65" customWidth="1"/>
    <col min="13325" max="13325" width="7.125" style="65" customWidth="1"/>
    <col min="13326" max="13326" width="14.75" style="65" customWidth="1"/>
    <col min="13327" max="13568" width="9" style="65"/>
    <col min="13569" max="13569" width="9.5" style="65" customWidth="1"/>
    <col min="13570" max="13572" width="9" style="65"/>
    <col min="13573" max="13573" width="15.25" style="65" customWidth="1"/>
    <col min="13574" max="13575" width="9" style="65"/>
    <col min="13576" max="13577" width="4.5" style="65" customWidth="1"/>
    <col min="13578" max="13578" width="4.875" style="65" customWidth="1"/>
    <col min="13579" max="13579" width="7.125" style="65" customWidth="1"/>
    <col min="13580" max="13580" width="14" style="65" customWidth="1"/>
    <col min="13581" max="13581" width="7.125" style="65" customWidth="1"/>
    <col min="13582" max="13582" width="14.75" style="65" customWidth="1"/>
    <col min="13583" max="13824" width="9" style="65"/>
    <col min="13825" max="13825" width="9.5" style="65" customWidth="1"/>
    <col min="13826" max="13828" width="9" style="65"/>
    <col min="13829" max="13829" width="15.25" style="65" customWidth="1"/>
    <col min="13830" max="13831" width="9" style="65"/>
    <col min="13832" max="13833" width="4.5" style="65" customWidth="1"/>
    <col min="13834" max="13834" width="4.875" style="65" customWidth="1"/>
    <col min="13835" max="13835" width="7.125" style="65" customWidth="1"/>
    <col min="13836" max="13836" width="14" style="65" customWidth="1"/>
    <col min="13837" max="13837" width="7.125" style="65" customWidth="1"/>
    <col min="13838" max="13838" width="14.75" style="65" customWidth="1"/>
    <col min="13839" max="14080" width="9" style="65"/>
    <col min="14081" max="14081" width="9.5" style="65" customWidth="1"/>
    <col min="14082" max="14084" width="9" style="65"/>
    <col min="14085" max="14085" width="15.25" style="65" customWidth="1"/>
    <col min="14086" max="14087" width="9" style="65"/>
    <col min="14088" max="14089" width="4.5" style="65" customWidth="1"/>
    <col min="14090" max="14090" width="4.875" style="65" customWidth="1"/>
    <col min="14091" max="14091" width="7.125" style="65" customWidth="1"/>
    <col min="14092" max="14092" width="14" style="65" customWidth="1"/>
    <col min="14093" max="14093" width="7.125" style="65" customWidth="1"/>
    <col min="14094" max="14094" width="14.75" style="65" customWidth="1"/>
    <col min="14095" max="14336" width="9" style="65"/>
    <col min="14337" max="14337" width="9.5" style="65" customWidth="1"/>
    <col min="14338" max="14340" width="9" style="65"/>
    <col min="14341" max="14341" width="15.25" style="65" customWidth="1"/>
    <col min="14342" max="14343" width="9" style="65"/>
    <col min="14344" max="14345" width="4.5" style="65" customWidth="1"/>
    <col min="14346" max="14346" width="4.875" style="65" customWidth="1"/>
    <col min="14347" max="14347" width="7.125" style="65" customWidth="1"/>
    <col min="14348" max="14348" width="14" style="65" customWidth="1"/>
    <col min="14349" max="14349" width="7.125" style="65" customWidth="1"/>
    <col min="14350" max="14350" width="14.75" style="65" customWidth="1"/>
    <col min="14351" max="14592" width="9" style="65"/>
    <col min="14593" max="14593" width="9.5" style="65" customWidth="1"/>
    <col min="14594" max="14596" width="9" style="65"/>
    <col min="14597" max="14597" width="15.25" style="65" customWidth="1"/>
    <col min="14598" max="14599" width="9" style="65"/>
    <col min="14600" max="14601" width="4.5" style="65" customWidth="1"/>
    <col min="14602" max="14602" width="4.875" style="65" customWidth="1"/>
    <col min="14603" max="14603" width="7.125" style="65" customWidth="1"/>
    <col min="14604" max="14604" width="14" style="65" customWidth="1"/>
    <col min="14605" max="14605" width="7.125" style="65" customWidth="1"/>
    <col min="14606" max="14606" width="14.75" style="65" customWidth="1"/>
    <col min="14607" max="14848" width="9" style="65"/>
    <col min="14849" max="14849" width="9.5" style="65" customWidth="1"/>
    <col min="14850" max="14852" width="9" style="65"/>
    <col min="14853" max="14853" width="15.25" style="65" customWidth="1"/>
    <col min="14854" max="14855" width="9" style="65"/>
    <col min="14856" max="14857" width="4.5" style="65" customWidth="1"/>
    <col min="14858" max="14858" width="4.875" style="65" customWidth="1"/>
    <col min="14859" max="14859" width="7.125" style="65" customWidth="1"/>
    <col min="14860" max="14860" width="14" style="65" customWidth="1"/>
    <col min="14861" max="14861" width="7.125" style="65" customWidth="1"/>
    <col min="14862" max="14862" width="14.75" style="65" customWidth="1"/>
    <col min="14863" max="15104" width="9" style="65"/>
    <col min="15105" max="15105" width="9.5" style="65" customWidth="1"/>
    <col min="15106" max="15108" width="9" style="65"/>
    <col min="15109" max="15109" width="15.25" style="65" customWidth="1"/>
    <col min="15110" max="15111" width="9" style="65"/>
    <col min="15112" max="15113" width="4.5" style="65" customWidth="1"/>
    <col min="15114" max="15114" width="4.875" style="65" customWidth="1"/>
    <col min="15115" max="15115" width="7.125" style="65" customWidth="1"/>
    <col min="15116" max="15116" width="14" style="65" customWidth="1"/>
    <col min="15117" max="15117" width="7.125" style="65" customWidth="1"/>
    <col min="15118" max="15118" width="14.75" style="65" customWidth="1"/>
    <col min="15119" max="15360" width="9" style="65"/>
    <col min="15361" max="15361" width="9.5" style="65" customWidth="1"/>
    <col min="15362" max="15364" width="9" style="65"/>
    <col min="15365" max="15365" width="15.25" style="65" customWidth="1"/>
    <col min="15366" max="15367" width="9" style="65"/>
    <col min="15368" max="15369" width="4.5" style="65" customWidth="1"/>
    <col min="15370" max="15370" width="4.875" style="65" customWidth="1"/>
    <col min="15371" max="15371" width="7.125" style="65" customWidth="1"/>
    <col min="15372" max="15372" width="14" style="65" customWidth="1"/>
    <col min="15373" max="15373" width="7.125" style="65" customWidth="1"/>
    <col min="15374" max="15374" width="14.75" style="65" customWidth="1"/>
    <col min="15375" max="15616" width="9" style="65"/>
    <col min="15617" max="15617" width="9.5" style="65" customWidth="1"/>
    <col min="15618" max="15620" width="9" style="65"/>
    <col min="15621" max="15621" width="15.25" style="65" customWidth="1"/>
    <col min="15622" max="15623" width="9" style="65"/>
    <col min="15624" max="15625" width="4.5" style="65" customWidth="1"/>
    <col min="15626" max="15626" width="4.875" style="65" customWidth="1"/>
    <col min="15627" max="15627" width="7.125" style="65" customWidth="1"/>
    <col min="15628" max="15628" width="14" style="65" customWidth="1"/>
    <col min="15629" max="15629" width="7.125" style="65" customWidth="1"/>
    <col min="15630" max="15630" width="14.75" style="65" customWidth="1"/>
    <col min="15631" max="15872" width="9" style="65"/>
    <col min="15873" max="15873" width="9.5" style="65" customWidth="1"/>
    <col min="15874" max="15876" width="9" style="65"/>
    <col min="15877" max="15877" width="15.25" style="65" customWidth="1"/>
    <col min="15878" max="15879" width="9" style="65"/>
    <col min="15880" max="15881" width="4.5" style="65" customWidth="1"/>
    <col min="15882" max="15882" width="4.875" style="65" customWidth="1"/>
    <col min="15883" max="15883" width="7.125" style="65" customWidth="1"/>
    <col min="15884" max="15884" width="14" style="65" customWidth="1"/>
    <col min="15885" max="15885" width="7.125" style="65" customWidth="1"/>
    <col min="15886" max="15886" width="14.75" style="65" customWidth="1"/>
    <col min="15887" max="16128" width="9" style="65"/>
    <col min="16129" max="16129" width="9.5" style="65" customWidth="1"/>
    <col min="16130" max="16132" width="9" style="65"/>
    <col min="16133" max="16133" width="15.25" style="65" customWidth="1"/>
    <col min="16134" max="16135" width="9" style="65"/>
    <col min="16136" max="16137" width="4.5" style="65" customWidth="1"/>
    <col min="16138" max="16138" width="4.875" style="65" customWidth="1"/>
    <col min="16139" max="16139" width="7.125" style="65" customWidth="1"/>
    <col min="16140" max="16140" width="14" style="65" customWidth="1"/>
    <col min="16141" max="16141" width="7.125" style="65" customWidth="1"/>
    <col min="16142" max="16142" width="14.75" style="65" customWidth="1"/>
    <col min="16143" max="16384" width="9" style="65"/>
  </cols>
  <sheetData>
    <row r="1" spans="1:17" s="27" customFormat="1" ht="37.5" customHeight="1">
      <c r="A1" s="22"/>
      <c r="B1" s="23"/>
      <c r="C1" s="23"/>
      <c r="D1" s="24"/>
      <c r="E1" s="24"/>
      <c r="F1" s="23"/>
      <c r="G1" s="23"/>
      <c r="H1" s="23"/>
      <c r="I1" s="24"/>
      <c r="J1" s="24"/>
      <c r="K1" s="24"/>
      <c r="L1" s="24"/>
      <c r="M1" s="24"/>
      <c r="N1" s="24"/>
      <c r="O1" s="24"/>
      <c r="P1" s="25"/>
      <c r="Q1" s="26"/>
    </row>
    <row r="2" spans="1:17" s="27" customFormat="1" ht="40.5" customHeight="1">
      <c r="A2" s="28"/>
      <c r="B2" s="29"/>
      <c r="C2" s="29"/>
      <c r="D2" s="348" t="s">
        <v>712</v>
      </c>
      <c r="E2" s="348"/>
      <c r="F2" s="348"/>
      <c r="G2" s="348"/>
      <c r="H2" s="348"/>
      <c r="I2" s="348"/>
      <c r="J2" s="348"/>
      <c r="K2" s="348"/>
      <c r="L2" s="348"/>
      <c r="M2" s="348"/>
      <c r="N2" s="30"/>
      <c r="O2" s="30"/>
      <c r="P2" s="31"/>
      <c r="Q2" s="26"/>
    </row>
    <row r="3" spans="1:17" s="27" customFormat="1" ht="15" customHeight="1">
      <c r="A3" s="28"/>
      <c r="B3" s="29"/>
      <c r="C3" s="29"/>
      <c r="D3" s="30"/>
      <c r="E3" s="30"/>
      <c r="F3" s="29"/>
      <c r="G3" s="29"/>
      <c r="H3" s="29"/>
      <c r="I3" s="30"/>
      <c r="J3" s="30"/>
      <c r="K3" s="30"/>
      <c r="L3" s="30"/>
      <c r="M3" s="30"/>
      <c r="N3" s="30"/>
      <c r="O3" s="30"/>
      <c r="P3" s="31"/>
      <c r="Q3" s="26"/>
    </row>
    <row r="4" spans="1:17" s="27" customFormat="1" ht="23.25" customHeight="1">
      <c r="A4" s="28"/>
      <c r="B4" s="349" t="s">
        <v>610</v>
      </c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0"/>
      <c r="P4" s="31"/>
      <c r="Q4" s="26"/>
    </row>
    <row r="5" spans="1:17" s="27" customFormat="1">
      <c r="A5" s="28"/>
      <c r="B5" s="29"/>
      <c r="C5" s="29"/>
      <c r="D5" s="30"/>
      <c r="E5" s="30"/>
      <c r="F5" s="29"/>
      <c r="G5" s="29"/>
      <c r="H5" s="29"/>
      <c r="I5" s="30"/>
      <c r="J5" s="30"/>
      <c r="K5" s="30"/>
      <c r="L5" s="30"/>
      <c r="M5" s="30"/>
      <c r="N5" s="30"/>
      <c r="O5" s="30"/>
      <c r="P5" s="31"/>
      <c r="Q5" s="26"/>
    </row>
    <row r="6" spans="1:17" s="27" customFormat="1" ht="37.5" customHeight="1">
      <c r="A6" s="32"/>
      <c r="B6" s="33" t="s">
        <v>28</v>
      </c>
      <c r="C6" s="34"/>
      <c r="D6" s="35"/>
      <c r="E6" s="34"/>
      <c r="F6" s="36"/>
      <c r="G6" s="36" t="s">
        <v>29</v>
      </c>
      <c r="H6" s="36"/>
      <c r="I6" s="37" t="s">
        <v>30</v>
      </c>
      <c r="J6" s="34"/>
      <c r="K6" s="34"/>
      <c r="L6" s="38"/>
      <c r="M6" s="34"/>
      <c r="N6" s="35"/>
      <c r="O6" s="39" t="s">
        <v>31</v>
      </c>
      <c r="P6" s="40"/>
    </row>
    <row r="7" spans="1:17" s="27" customFormat="1" ht="37.5" customHeight="1">
      <c r="A7" s="32"/>
      <c r="B7" s="41" t="s">
        <v>32</v>
      </c>
      <c r="C7" s="42"/>
      <c r="D7" s="43"/>
      <c r="E7" s="44"/>
      <c r="F7" s="45" t="str">
        <f>"일금     :    "&amp;NUMBERSTRING(L7,1)&amp;"원정"</f>
        <v>일금     :    사천구백구십구만원정</v>
      </c>
      <c r="G7" s="46"/>
      <c r="H7" s="46"/>
      <c r="I7" s="46"/>
      <c r="J7" s="42"/>
      <c r="K7" s="47" t="s">
        <v>33</v>
      </c>
      <c r="L7" s="42">
        <f>'원가계산서(건축)'!D36</f>
        <v>49990000</v>
      </c>
      <c r="M7" s="46" t="s">
        <v>34</v>
      </c>
      <c r="N7" s="43"/>
      <c r="O7" s="48"/>
      <c r="P7" s="40"/>
    </row>
    <row r="8" spans="1:17" s="27" customFormat="1" ht="37.5" customHeight="1">
      <c r="A8" s="32"/>
      <c r="B8" s="49" t="s">
        <v>35</v>
      </c>
      <c r="C8" s="350" t="s">
        <v>36</v>
      </c>
      <c r="D8" s="351"/>
      <c r="E8" s="44"/>
      <c r="F8" s="45" t="str">
        <f>"일금     :    "&amp;NUMBERSTRING(L8,1)&amp;"원정"</f>
        <v>일금     :    사천오백사십사만오천사백오십육원정</v>
      </c>
      <c r="G8" s="46"/>
      <c r="H8" s="46"/>
      <c r="I8" s="46"/>
      <c r="J8" s="42"/>
      <c r="K8" s="47" t="s">
        <v>33</v>
      </c>
      <c r="L8" s="42">
        <v>45445456</v>
      </c>
      <c r="M8" s="46" t="s">
        <v>34</v>
      </c>
      <c r="N8" s="43"/>
      <c r="O8" s="48"/>
      <c r="P8" s="40"/>
    </row>
    <row r="9" spans="1:17" s="27" customFormat="1" ht="37.5" customHeight="1">
      <c r="A9" s="32"/>
      <c r="B9" s="49" t="s">
        <v>37</v>
      </c>
      <c r="C9" s="350" t="s">
        <v>38</v>
      </c>
      <c r="D9" s="351"/>
      <c r="E9" s="44"/>
      <c r="F9" s="45" t="str">
        <f>"일금     :    "&amp;NUMBERSTRING(L9,1)&amp;"원정"</f>
        <v>일금     :    사백오십사만사천오백사십사원정</v>
      </c>
      <c r="G9" s="42"/>
      <c r="H9" s="42"/>
      <c r="I9" s="42"/>
      <c r="J9" s="42"/>
      <c r="K9" s="47" t="s">
        <v>33</v>
      </c>
      <c r="L9" s="42">
        <v>4544544</v>
      </c>
      <c r="M9" s="46" t="s">
        <v>34</v>
      </c>
      <c r="N9" s="43"/>
      <c r="O9" s="48"/>
      <c r="P9" s="40"/>
    </row>
    <row r="10" spans="1:17" s="27" customFormat="1" ht="37.5" customHeight="1">
      <c r="A10" s="32"/>
      <c r="B10" s="49" t="s">
        <v>39</v>
      </c>
      <c r="C10" s="50" t="s">
        <v>40</v>
      </c>
      <c r="D10" s="51"/>
      <c r="E10" s="44"/>
      <c r="F10" s="45" t="str">
        <f>"일금     :    "&amp;NUMBERSTRING(L10,1)&amp;"원정"</f>
        <v>일금     :    사천구백구십구만원정</v>
      </c>
      <c r="G10" s="42"/>
      <c r="H10" s="42"/>
      <c r="I10" s="42"/>
      <c r="J10" s="42"/>
      <c r="K10" s="52" t="s">
        <v>33</v>
      </c>
      <c r="L10" s="53">
        <f>TRUNC(L9+L8)</f>
        <v>49990000</v>
      </c>
      <c r="M10" s="54" t="s">
        <v>34</v>
      </c>
      <c r="N10" s="51"/>
      <c r="O10" s="55"/>
      <c r="P10" s="40"/>
    </row>
    <row r="11" spans="1:17" s="27" customFormat="1" ht="37.5" customHeight="1">
      <c r="A11" s="32"/>
      <c r="B11" s="352"/>
      <c r="C11" s="353"/>
      <c r="D11" s="354"/>
      <c r="E11" s="56"/>
      <c r="F11" s="355"/>
      <c r="G11" s="355"/>
      <c r="H11" s="355"/>
      <c r="I11" s="355"/>
      <c r="J11" s="355"/>
      <c r="K11" s="57"/>
      <c r="L11" s="58"/>
      <c r="M11" s="59"/>
      <c r="N11" s="60"/>
      <c r="O11" s="61"/>
      <c r="P11" s="40"/>
    </row>
    <row r="12" spans="1:17" ht="50.1" customHeight="1">
      <c r="A12" s="62"/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4"/>
    </row>
    <row r="13" spans="1:17" ht="29.25" customHeight="1">
      <c r="A13" s="62"/>
      <c r="B13" s="344" t="s">
        <v>41</v>
      </c>
      <c r="C13" s="345"/>
      <c r="D13" s="346"/>
      <c r="E13" s="63"/>
      <c r="F13" s="63"/>
      <c r="G13" s="63"/>
      <c r="H13" s="63"/>
      <c r="I13" s="63"/>
      <c r="J13" s="347" t="s">
        <v>42</v>
      </c>
      <c r="K13" s="347"/>
      <c r="L13" s="347"/>
      <c r="M13" s="347"/>
      <c r="N13" s="347"/>
      <c r="O13" s="66"/>
      <c r="P13" s="64"/>
    </row>
    <row r="14" spans="1:17" ht="24.95" customHeight="1">
      <c r="A14" s="62"/>
      <c r="B14" s="67" t="s">
        <v>43</v>
      </c>
      <c r="C14" s="342"/>
      <c r="D14" s="342"/>
      <c r="E14" s="63"/>
      <c r="F14" s="63"/>
      <c r="G14" s="63"/>
      <c r="H14" s="63"/>
      <c r="I14" s="63"/>
      <c r="J14" s="343" t="s">
        <v>613</v>
      </c>
      <c r="K14" s="343"/>
      <c r="L14" s="343"/>
      <c r="M14" s="343"/>
      <c r="N14" s="343"/>
      <c r="O14" s="343"/>
      <c r="P14" s="64"/>
    </row>
    <row r="15" spans="1:17" ht="24.95" customHeight="1">
      <c r="A15" s="62"/>
      <c r="B15" s="67" t="s">
        <v>44</v>
      </c>
      <c r="C15" s="342"/>
      <c r="D15" s="342"/>
      <c r="E15" s="63"/>
      <c r="F15" s="63"/>
      <c r="G15" s="63"/>
      <c r="H15" s="63"/>
      <c r="I15" s="63"/>
      <c r="J15" s="343" t="s">
        <v>614</v>
      </c>
      <c r="K15" s="343"/>
      <c r="L15" s="343"/>
      <c r="M15" s="343"/>
      <c r="N15" s="343"/>
      <c r="O15" s="343"/>
      <c r="P15" s="64"/>
    </row>
    <row r="16" spans="1:17" ht="24.95" customHeight="1">
      <c r="A16" s="62"/>
      <c r="B16" s="67" t="s">
        <v>45</v>
      </c>
      <c r="C16" s="342" t="s">
        <v>46</v>
      </c>
      <c r="D16" s="342"/>
      <c r="E16" s="63"/>
      <c r="F16" s="63"/>
      <c r="G16" s="63"/>
      <c r="H16" s="63"/>
      <c r="I16" s="63"/>
      <c r="J16" s="343" t="s">
        <v>615</v>
      </c>
      <c r="K16" s="343"/>
      <c r="L16" s="343"/>
      <c r="M16" s="343"/>
      <c r="N16" s="343"/>
      <c r="O16" s="343"/>
      <c r="P16" s="64"/>
    </row>
    <row r="17" spans="1:16" ht="19.5" customHeight="1">
      <c r="A17" s="68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70"/>
    </row>
  </sheetData>
  <mergeCells count="14">
    <mergeCell ref="D2:M2"/>
    <mergeCell ref="B4:N4"/>
    <mergeCell ref="C8:D8"/>
    <mergeCell ref="C9:D9"/>
    <mergeCell ref="B11:D11"/>
    <mergeCell ref="F11:J11"/>
    <mergeCell ref="C16:D16"/>
    <mergeCell ref="J16:O16"/>
    <mergeCell ref="B13:D13"/>
    <mergeCell ref="J13:N13"/>
    <mergeCell ref="C14:D14"/>
    <mergeCell ref="J14:O14"/>
    <mergeCell ref="C15:D15"/>
    <mergeCell ref="J15:O15"/>
  </mergeCells>
  <phoneticPr fontId="2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C000"/>
    <pageSetUpPr fitToPage="1"/>
  </sheetPr>
  <dimension ref="A1:J539"/>
  <sheetViews>
    <sheetView view="pageBreakPreview" topLeftCell="A10" zoomScale="85" zoomScaleNormal="100" zoomScaleSheetLayoutView="85" workbookViewId="0">
      <selection activeCell="B15" sqref="B15"/>
    </sheetView>
  </sheetViews>
  <sheetFormatPr defaultColWidth="10.75" defaultRowHeight="21.75" customHeight="1"/>
  <cols>
    <col min="1" max="1" width="9.25" style="162" customWidth="1"/>
    <col min="2" max="2" width="8.25" style="74" customWidth="1"/>
    <col min="3" max="3" width="46.125" style="74" customWidth="1"/>
    <col min="4" max="4" width="26.75" style="161" customWidth="1"/>
    <col min="5" max="5" width="23.75" style="161" customWidth="1"/>
    <col min="6" max="6" width="17.75" style="74" customWidth="1"/>
    <col min="7" max="7" width="45.875" style="74" customWidth="1"/>
    <col min="8" max="8" width="17.5" style="74" customWidth="1"/>
    <col min="9" max="10" width="14.5" style="74" customWidth="1"/>
    <col min="11" max="257" width="10.75" style="74"/>
    <col min="258" max="258" width="9.25" style="74" customWidth="1"/>
    <col min="259" max="259" width="8.25" style="74" customWidth="1"/>
    <col min="260" max="260" width="36.125" style="74" customWidth="1"/>
    <col min="261" max="261" width="26.75" style="74" customWidth="1"/>
    <col min="262" max="262" width="40.625" style="74" customWidth="1"/>
    <col min="263" max="263" width="37.625" style="74" customWidth="1"/>
    <col min="264" max="264" width="17.5" style="74" customWidth="1"/>
    <col min="265" max="266" width="14.5" style="74" customWidth="1"/>
    <col min="267" max="513" width="10.75" style="74"/>
    <col min="514" max="514" width="9.25" style="74" customWidth="1"/>
    <col min="515" max="515" width="8.25" style="74" customWidth="1"/>
    <col min="516" max="516" width="36.125" style="74" customWidth="1"/>
    <col min="517" max="517" width="26.75" style="74" customWidth="1"/>
    <col min="518" max="518" width="40.625" style="74" customWidth="1"/>
    <col min="519" max="519" width="37.625" style="74" customWidth="1"/>
    <col min="520" max="520" width="17.5" style="74" customWidth="1"/>
    <col min="521" max="522" width="14.5" style="74" customWidth="1"/>
    <col min="523" max="769" width="10.75" style="74"/>
    <col min="770" max="770" width="9.25" style="74" customWidth="1"/>
    <col min="771" max="771" width="8.25" style="74" customWidth="1"/>
    <col min="772" max="772" width="36.125" style="74" customWidth="1"/>
    <col min="773" max="773" width="26.75" style="74" customWidth="1"/>
    <col min="774" max="774" width="40.625" style="74" customWidth="1"/>
    <col min="775" max="775" width="37.625" style="74" customWidth="1"/>
    <col min="776" max="776" width="17.5" style="74" customWidth="1"/>
    <col min="777" max="778" width="14.5" style="74" customWidth="1"/>
    <col min="779" max="1025" width="10.75" style="74"/>
    <col min="1026" max="1026" width="9.25" style="74" customWidth="1"/>
    <col min="1027" max="1027" width="8.25" style="74" customWidth="1"/>
    <col min="1028" max="1028" width="36.125" style="74" customWidth="1"/>
    <col min="1029" max="1029" width="26.75" style="74" customWidth="1"/>
    <col min="1030" max="1030" width="40.625" style="74" customWidth="1"/>
    <col min="1031" max="1031" width="37.625" style="74" customWidth="1"/>
    <col min="1032" max="1032" width="17.5" style="74" customWidth="1"/>
    <col min="1033" max="1034" width="14.5" style="74" customWidth="1"/>
    <col min="1035" max="1281" width="10.75" style="74"/>
    <col min="1282" max="1282" width="9.25" style="74" customWidth="1"/>
    <col min="1283" max="1283" width="8.25" style="74" customWidth="1"/>
    <col min="1284" max="1284" width="36.125" style="74" customWidth="1"/>
    <col min="1285" max="1285" width="26.75" style="74" customWidth="1"/>
    <col min="1286" max="1286" width="40.625" style="74" customWidth="1"/>
    <col min="1287" max="1287" width="37.625" style="74" customWidth="1"/>
    <col min="1288" max="1288" width="17.5" style="74" customWidth="1"/>
    <col min="1289" max="1290" width="14.5" style="74" customWidth="1"/>
    <col min="1291" max="1537" width="10.75" style="74"/>
    <col min="1538" max="1538" width="9.25" style="74" customWidth="1"/>
    <col min="1539" max="1539" width="8.25" style="74" customWidth="1"/>
    <col min="1540" max="1540" width="36.125" style="74" customWidth="1"/>
    <col min="1541" max="1541" width="26.75" style="74" customWidth="1"/>
    <col min="1542" max="1542" width="40.625" style="74" customWidth="1"/>
    <col min="1543" max="1543" width="37.625" style="74" customWidth="1"/>
    <col min="1544" max="1544" width="17.5" style="74" customWidth="1"/>
    <col min="1545" max="1546" width="14.5" style="74" customWidth="1"/>
    <col min="1547" max="1793" width="10.75" style="74"/>
    <col min="1794" max="1794" width="9.25" style="74" customWidth="1"/>
    <col min="1795" max="1795" width="8.25" style="74" customWidth="1"/>
    <col min="1796" max="1796" width="36.125" style="74" customWidth="1"/>
    <col min="1797" max="1797" width="26.75" style="74" customWidth="1"/>
    <col min="1798" max="1798" width="40.625" style="74" customWidth="1"/>
    <col min="1799" max="1799" width="37.625" style="74" customWidth="1"/>
    <col min="1800" max="1800" width="17.5" style="74" customWidth="1"/>
    <col min="1801" max="1802" width="14.5" style="74" customWidth="1"/>
    <col min="1803" max="2049" width="10.75" style="74"/>
    <col min="2050" max="2050" width="9.25" style="74" customWidth="1"/>
    <col min="2051" max="2051" width="8.25" style="74" customWidth="1"/>
    <col min="2052" max="2052" width="36.125" style="74" customWidth="1"/>
    <col min="2053" max="2053" width="26.75" style="74" customWidth="1"/>
    <col min="2054" max="2054" width="40.625" style="74" customWidth="1"/>
    <col min="2055" max="2055" width="37.625" style="74" customWidth="1"/>
    <col min="2056" max="2056" width="17.5" style="74" customWidth="1"/>
    <col min="2057" max="2058" width="14.5" style="74" customWidth="1"/>
    <col min="2059" max="2305" width="10.75" style="74"/>
    <col min="2306" max="2306" width="9.25" style="74" customWidth="1"/>
    <col min="2307" max="2307" width="8.25" style="74" customWidth="1"/>
    <col min="2308" max="2308" width="36.125" style="74" customWidth="1"/>
    <col min="2309" max="2309" width="26.75" style="74" customWidth="1"/>
    <col min="2310" max="2310" width="40.625" style="74" customWidth="1"/>
    <col min="2311" max="2311" width="37.625" style="74" customWidth="1"/>
    <col min="2312" max="2312" width="17.5" style="74" customWidth="1"/>
    <col min="2313" max="2314" width="14.5" style="74" customWidth="1"/>
    <col min="2315" max="2561" width="10.75" style="74"/>
    <col min="2562" max="2562" width="9.25" style="74" customWidth="1"/>
    <col min="2563" max="2563" width="8.25" style="74" customWidth="1"/>
    <col min="2564" max="2564" width="36.125" style="74" customWidth="1"/>
    <col min="2565" max="2565" width="26.75" style="74" customWidth="1"/>
    <col min="2566" max="2566" width="40.625" style="74" customWidth="1"/>
    <col min="2567" max="2567" width="37.625" style="74" customWidth="1"/>
    <col min="2568" max="2568" width="17.5" style="74" customWidth="1"/>
    <col min="2569" max="2570" width="14.5" style="74" customWidth="1"/>
    <col min="2571" max="2817" width="10.75" style="74"/>
    <col min="2818" max="2818" width="9.25" style="74" customWidth="1"/>
    <col min="2819" max="2819" width="8.25" style="74" customWidth="1"/>
    <col min="2820" max="2820" width="36.125" style="74" customWidth="1"/>
    <col min="2821" max="2821" width="26.75" style="74" customWidth="1"/>
    <col min="2822" max="2822" width="40.625" style="74" customWidth="1"/>
    <col min="2823" max="2823" width="37.625" style="74" customWidth="1"/>
    <col min="2824" max="2824" width="17.5" style="74" customWidth="1"/>
    <col min="2825" max="2826" width="14.5" style="74" customWidth="1"/>
    <col min="2827" max="3073" width="10.75" style="74"/>
    <col min="3074" max="3074" width="9.25" style="74" customWidth="1"/>
    <col min="3075" max="3075" width="8.25" style="74" customWidth="1"/>
    <col min="3076" max="3076" width="36.125" style="74" customWidth="1"/>
    <col min="3077" max="3077" width="26.75" style="74" customWidth="1"/>
    <col min="3078" max="3078" width="40.625" style="74" customWidth="1"/>
    <col min="3079" max="3079" width="37.625" style="74" customWidth="1"/>
    <col min="3080" max="3080" width="17.5" style="74" customWidth="1"/>
    <col min="3081" max="3082" width="14.5" style="74" customWidth="1"/>
    <col min="3083" max="3329" width="10.75" style="74"/>
    <col min="3330" max="3330" width="9.25" style="74" customWidth="1"/>
    <col min="3331" max="3331" width="8.25" style="74" customWidth="1"/>
    <col min="3332" max="3332" width="36.125" style="74" customWidth="1"/>
    <col min="3333" max="3333" width="26.75" style="74" customWidth="1"/>
    <col min="3334" max="3334" width="40.625" style="74" customWidth="1"/>
    <col min="3335" max="3335" width="37.625" style="74" customWidth="1"/>
    <col min="3336" max="3336" width="17.5" style="74" customWidth="1"/>
    <col min="3337" max="3338" width="14.5" style="74" customWidth="1"/>
    <col min="3339" max="3585" width="10.75" style="74"/>
    <col min="3586" max="3586" width="9.25" style="74" customWidth="1"/>
    <col min="3587" max="3587" width="8.25" style="74" customWidth="1"/>
    <col min="3588" max="3588" width="36.125" style="74" customWidth="1"/>
    <col min="3589" max="3589" width="26.75" style="74" customWidth="1"/>
    <col min="3590" max="3590" width="40.625" style="74" customWidth="1"/>
    <col min="3591" max="3591" width="37.625" style="74" customWidth="1"/>
    <col min="3592" max="3592" width="17.5" style="74" customWidth="1"/>
    <col min="3593" max="3594" width="14.5" style="74" customWidth="1"/>
    <col min="3595" max="3841" width="10.75" style="74"/>
    <col min="3842" max="3842" width="9.25" style="74" customWidth="1"/>
    <col min="3843" max="3843" width="8.25" style="74" customWidth="1"/>
    <col min="3844" max="3844" width="36.125" style="74" customWidth="1"/>
    <col min="3845" max="3845" width="26.75" style="74" customWidth="1"/>
    <col min="3846" max="3846" width="40.625" style="74" customWidth="1"/>
    <col min="3847" max="3847" width="37.625" style="74" customWidth="1"/>
    <col min="3848" max="3848" width="17.5" style="74" customWidth="1"/>
    <col min="3849" max="3850" width="14.5" style="74" customWidth="1"/>
    <col min="3851" max="4097" width="10.75" style="74"/>
    <col min="4098" max="4098" width="9.25" style="74" customWidth="1"/>
    <col min="4099" max="4099" width="8.25" style="74" customWidth="1"/>
    <col min="4100" max="4100" width="36.125" style="74" customWidth="1"/>
    <col min="4101" max="4101" width="26.75" style="74" customWidth="1"/>
    <col min="4102" max="4102" width="40.625" style="74" customWidth="1"/>
    <col min="4103" max="4103" width="37.625" style="74" customWidth="1"/>
    <col min="4104" max="4104" width="17.5" style="74" customWidth="1"/>
    <col min="4105" max="4106" width="14.5" style="74" customWidth="1"/>
    <col min="4107" max="4353" width="10.75" style="74"/>
    <col min="4354" max="4354" width="9.25" style="74" customWidth="1"/>
    <col min="4355" max="4355" width="8.25" style="74" customWidth="1"/>
    <col min="4356" max="4356" width="36.125" style="74" customWidth="1"/>
    <col min="4357" max="4357" width="26.75" style="74" customWidth="1"/>
    <col min="4358" max="4358" width="40.625" style="74" customWidth="1"/>
    <col min="4359" max="4359" width="37.625" style="74" customWidth="1"/>
    <col min="4360" max="4360" width="17.5" style="74" customWidth="1"/>
    <col min="4361" max="4362" width="14.5" style="74" customWidth="1"/>
    <col min="4363" max="4609" width="10.75" style="74"/>
    <col min="4610" max="4610" width="9.25" style="74" customWidth="1"/>
    <col min="4611" max="4611" width="8.25" style="74" customWidth="1"/>
    <col min="4612" max="4612" width="36.125" style="74" customWidth="1"/>
    <col min="4613" max="4613" width="26.75" style="74" customWidth="1"/>
    <col min="4614" max="4614" width="40.625" style="74" customWidth="1"/>
    <col min="4615" max="4615" width="37.625" style="74" customWidth="1"/>
    <col min="4616" max="4616" width="17.5" style="74" customWidth="1"/>
    <col min="4617" max="4618" width="14.5" style="74" customWidth="1"/>
    <col min="4619" max="4865" width="10.75" style="74"/>
    <col min="4866" max="4866" width="9.25" style="74" customWidth="1"/>
    <col min="4867" max="4867" width="8.25" style="74" customWidth="1"/>
    <col min="4868" max="4868" width="36.125" style="74" customWidth="1"/>
    <col min="4869" max="4869" width="26.75" style="74" customWidth="1"/>
    <col min="4870" max="4870" width="40.625" style="74" customWidth="1"/>
    <col min="4871" max="4871" width="37.625" style="74" customWidth="1"/>
    <col min="4872" max="4872" width="17.5" style="74" customWidth="1"/>
    <col min="4873" max="4874" width="14.5" style="74" customWidth="1"/>
    <col min="4875" max="5121" width="10.75" style="74"/>
    <col min="5122" max="5122" width="9.25" style="74" customWidth="1"/>
    <col min="5123" max="5123" width="8.25" style="74" customWidth="1"/>
    <col min="5124" max="5124" width="36.125" style="74" customWidth="1"/>
    <col min="5125" max="5125" width="26.75" style="74" customWidth="1"/>
    <col min="5126" max="5126" width="40.625" style="74" customWidth="1"/>
    <col min="5127" max="5127" width="37.625" style="74" customWidth="1"/>
    <col min="5128" max="5128" width="17.5" style="74" customWidth="1"/>
    <col min="5129" max="5130" width="14.5" style="74" customWidth="1"/>
    <col min="5131" max="5377" width="10.75" style="74"/>
    <col min="5378" max="5378" width="9.25" style="74" customWidth="1"/>
    <col min="5379" max="5379" width="8.25" style="74" customWidth="1"/>
    <col min="5380" max="5380" width="36.125" style="74" customWidth="1"/>
    <col min="5381" max="5381" width="26.75" style="74" customWidth="1"/>
    <col min="5382" max="5382" width="40.625" style="74" customWidth="1"/>
    <col min="5383" max="5383" width="37.625" style="74" customWidth="1"/>
    <col min="5384" max="5384" width="17.5" style="74" customWidth="1"/>
    <col min="5385" max="5386" width="14.5" style="74" customWidth="1"/>
    <col min="5387" max="5633" width="10.75" style="74"/>
    <col min="5634" max="5634" width="9.25" style="74" customWidth="1"/>
    <col min="5635" max="5635" width="8.25" style="74" customWidth="1"/>
    <col min="5636" max="5636" width="36.125" style="74" customWidth="1"/>
    <col min="5637" max="5637" width="26.75" style="74" customWidth="1"/>
    <col min="5638" max="5638" width="40.625" style="74" customWidth="1"/>
    <col min="5639" max="5639" width="37.625" style="74" customWidth="1"/>
    <col min="5640" max="5640" width="17.5" style="74" customWidth="1"/>
    <col min="5641" max="5642" width="14.5" style="74" customWidth="1"/>
    <col min="5643" max="5889" width="10.75" style="74"/>
    <col min="5890" max="5890" width="9.25" style="74" customWidth="1"/>
    <col min="5891" max="5891" width="8.25" style="74" customWidth="1"/>
    <col min="5892" max="5892" width="36.125" style="74" customWidth="1"/>
    <col min="5893" max="5893" width="26.75" style="74" customWidth="1"/>
    <col min="5894" max="5894" width="40.625" style="74" customWidth="1"/>
    <col min="5895" max="5895" width="37.625" style="74" customWidth="1"/>
    <col min="5896" max="5896" width="17.5" style="74" customWidth="1"/>
    <col min="5897" max="5898" width="14.5" style="74" customWidth="1"/>
    <col min="5899" max="6145" width="10.75" style="74"/>
    <col min="6146" max="6146" width="9.25" style="74" customWidth="1"/>
    <col min="6147" max="6147" width="8.25" style="74" customWidth="1"/>
    <col min="6148" max="6148" width="36.125" style="74" customWidth="1"/>
    <col min="6149" max="6149" width="26.75" style="74" customWidth="1"/>
    <col min="6150" max="6150" width="40.625" style="74" customWidth="1"/>
    <col min="6151" max="6151" width="37.625" style="74" customWidth="1"/>
    <col min="6152" max="6152" width="17.5" style="74" customWidth="1"/>
    <col min="6153" max="6154" width="14.5" style="74" customWidth="1"/>
    <col min="6155" max="6401" width="10.75" style="74"/>
    <col min="6402" max="6402" width="9.25" style="74" customWidth="1"/>
    <col min="6403" max="6403" width="8.25" style="74" customWidth="1"/>
    <col min="6404" max="6404" width="36.125" style="74" customWidth="1"/>
    <col min="6405" max="6405" width="26.75" style="74" customWidth="1"/>
    <col min="6406" max="6406" width="40.625" style="74" customWidth="1"/>
    <col min="6407" max="6407" width="37.625" style="74" customWidth="1"/>
    <col min="6408" max="6408" width="17.5" style="74" customWidth="1"/>
    <col min="6409" max="6410" width="14.5" style="74" customWidth="1"/>
    <col min="6411" max="6657" width="10.75" style="74"/>
    <col min="6658" max="6658" width="9.25" style="74" customWidth="1"/>
    <col min="6659" max="6659" width="8.25" style="74" customWidth="1"/>
    <col min="6660" max="6660" width="36.125" style="74" customWidth="1"/>
    <col min="6661" max="6661" width="26.75" style="74" customWidth="1"/>
    <col min="6662" max="6662" width="40.625" style="74" customWidth="1"/>
    <col min="6663" max="6663" width="37.625" style="74" customWidth="1"/>
    <col min="6664" max="6664" width="17.5" style="74" customWidth="1"/>
    <col min="6665" max="6666" width="14.5" style="74" customWidth="1"/>
    <col min="6667" max="6913" width="10.75" style="74"/>
    <col min="6914" max="6914" width="9.25" style="74" customWidth="1"/>
    <col min="6915" max="6915" width="8.25" style="74" customWidth="1"/>
    <col min="6916" max="6916" width="36.125" style="74" customWidth="1"/>
    <col min="6917" max="6917" width="26.75" style="74" customWidth="1"/>
    <col min="6918" max="6918" width="40.625" style="74" customWidth="1"/>
    <col min="6919" max="6919" width="37.625" style="74" customWidth="1"/>
    <col min="6920" max="6920" width="17.5" style="74" customWidth="1"/>
    <col min="6921" max="6922" width="14.5" style="74" customWidth="1"/>
    <col min="6923" max="7169" width="10.75" style="74"/>
    <col min="7170" max="7170" width="9.25" style="74" customWidth="1"/>
    <col min="7171" max="7171" width="8.25" style="74" customWidth="1"/>
    <col min="7172" max="7172" width="36.125" style="74" customWidth="1"/>
    <col min="7173" max="7173" width="26.75" style="74" customWidth="1"/>
    <col min="7174" max="7174" width="40.625" style="74" customWidth="1"/>
    <col min="7175" max="7175" width="37.625" style="74" customWidth="1"/>
    <col min="7176" max="7176" width="17.5" style="74" customWidth="1"/>
    <col min="7177" max="7178" width="14.5" style="74" customWidth="1"/>
    <col min="7179" max="7425" width="10.75" style="74"/>
    <col min="7426" max="7426" width="9.25" style="74" customWidth="1"/>
    <col min="7427" max="7427" width="8.25" style="74" customWidth="1"/>
    <col min="7428" max="7428" width="36.125" style="74" customWidth="1"/>
    <col min="7429" max="7429" width="26.75" style="74" customWidth="1"/>
    <col min="7430" max="7430" width="40.625" style="74" customWidth="1"/>
    <col min="7431" max="7431" width="37.625" style="74" customWidth="1"/>
    <col min="7432" max="7432" width="17.5" style="74" customWidth="1"/>
    <col min="7433" max="7434" width="14.5" style="74" customWidth="1"/>
    <col min="7435" max="7681" width="10.75" style="74"/>
    <col min="7682" max="7682" width="9.25" style="74" customWidth="1"/>
    <col min="7683" max="7683" width="8.25" style="74" customWidth="1"/>
    <col min="7684" max="7684" width="36.125" style="74" customWidth="1"/>
    <col min="7685" max="7685" width="26.75" style="74" customWidth="1"/>
    <col min="7686" max="7686" width="40.625" style="74" customWidth="1"/>
    <col min="7687" max="7687" width="37.625" style="74" customWidth="1"/>
    <col min="7688" max="7688" width="17.5" style="74" customWidth="1"/>
    <col min="7689" max="7690" width="14.5" style="74" customWidth="1"/>
    <col min="7691" max="7937" width="10.75" style="74"/>
    <col min="7938" max="7938" width="9.25" style="74" customWidth="1"/>
    <col min="7939" max="7939" width="8.25" style="74" customWidth="1"/>
    <col min="7940" max="7940" width="36.125" style="74" customWidth="1"/>
    <col min="7941" max="7941" width="26.75" style="74" customWidth="1"/>
    <col min="7942" max="7942" width="40.625" style="74" customWidth="1"/>
    <col min="7943" max="7943" width="37.625" style="74" customWidth="1"/>
    <col min="7944" max="7944" width="17.5" style="74" customWidth="1"/>
    <col min="7945" max="7946" width="14.5" style="74" customWidth="1"/>
    <col min="7947" max="8193" width="10.75" style="74"/>
    <col min="8194" max="8194" width="9.25" style="74" customWidth="1"/>
    <col min="8195" max="8195" width="8.25" style="74" customWidth="1"/>
    <col min="8196" max="8196" width="36.125" style="74" customWidth="1"/>
    <col min="8197" max="8197" width="26.75" style="74" customWidth="1"/>
    <col min="8198" max="8198" width="40.625" style="74" customWidth="1"/>
    <col min="8199" max="8199" width="37.625" style="74" customWidth="1"/>
    <col min="8200" max="8200" width="17.5" style="74" customWidth="1"/>
    <col min="8201" max="8202" width="14.5" style="74" customWidth="1"/>
    <col min="8203" max="8449" width="10.75" style="74"/>
    <col min="8450" max="8450" width="9.25" style="74" customWidth="1"/>
    <col min="8451" max="8451" width="8.25" style="74" customWidth="1"/>
    <col min="8452" max="8452" width="36.125" style="74" customWidth="1"/>
    <col min="8453" max="8453" width="26.75" style="74" customWidth="1"/>
    <col min="8454" max="8454" width="40.625" style="74" customWidth="1"/>
    <col min="8455" max="8455" width="37.625" style="74" customWidth="1"/>
    <col min="8456" max="8456" width="17.5" style="74" customWidth="1"/>
    <col min="8457" max="8458" width="14.5" style="74" customWidth="1"/>
    <col min="8459" max="8705" width="10.75" style="74"/>
    <col min="8706" max="8706" width="9.25" style="74" customWidth="1"/>
    <col min="8707" max="8707" width="8.25" style="74" customWidth="1"/>
    <col min="8708" max="8708" width="36.125" style="74" customWidth="1"/>
    <col min="8709" max="8709" width="26.75" style="74" customWidth="1"/>
    <col min="8710" max="8710" width="40.625" style="74" customWidth="1"/>
    <col min="8711" max="8711" width="37.625" style="74" customWidth="1"/>
    <col min="8712" max="8712" width="17.5" style="74" customWidth="1"/>
    <col min="8713" max="8714" width="14.5" style="74" customWidth="1"/>
    <col min="8715" max="8961" width="10.75" style="74"/>
    <col min="8962" max="8962" width="9.25" style="74" customWidth="1"/>
    <col min="8963" max="8963" width="8.25" style="74" customWidth="1"/>
    <col min="8964" max="8964" width="36.125" style="74" customWidth="1"/>
    <col min="8965" max="8965" width="26.75" style="74" customWidth="1"/>
    <col min="8966" max="8966" width="40.625" style="74" customWidth="1"/>
    <col min="8967" max="8967" width="37.625" style="74" customWidth="1"/>
    <col min="8968" max="8968" width="17.5" style="74" customWidth="1"/>
    <col min="8969" max="8970" width="14.5" style="74" customWidth="1"/>
    <col min="8971" max="9217" width="10.75" style="74"/>
    <col min="9218" max="9218" width="9.25" style="74" customWidth="1"/>
    <col min="9219" max="9219" width="8.25" style="74" customWidth="1"/>
    <col min="9220" max="9220" width="36.125" style="74" customWidth="1"/>
    <col min="9221" max="9221" width="26.75" style="74" customWidth="1"/>
    <col min="9222" max="9222" width="40.625" style="74" customWidth="1"/>
    <col min="9223" max="9223" width="37.625" style="74" customWidth="1"/>
    <col min="9224" max="9224" width="17.5" style="74" customWidth="1"/>
    <col min="9225" max="9226" width="14.5" style="74" customWidth="1"/>
    <col min="9227" max="9473" width="10.75" style="74"/>
    <col min="9474" max="9474" width="9.25" style="74" customWidth="1"/>
    <col min="9475" max="9475" width="8.25" style="74" customWidth="1"/>
    <col min="9476" max="9476" width="36.125" style="74" customWidth="1"/>
    <col min="9477" max="9477" width="26.75" style="74" customWidth="1"/>
    <col min="9478" max="9478" width="40.625" style="74" customWidth="1"/>
    <col min="9479" max="9479" width="37.625" style="74" customWidth="1"/>
    <col min="9480" max="9480" width="17.5" style="74" customWidth="1"/>
    <col min="9481" max="9482" width="14.5" style="74" customWidth="1"/>
    <col min="9483" max="9729" width="10.75" style="74"/>
    <col min="9730" max="9730" width="9.25" style="74" customWidth="1"/>
    <col min="9731" max="9731" width="8.25" style="74" customWidth="1"/>
    <col min="9732" max="9732" width="36.125" style="74" customWidth="1"/>
    <col min="9733" max="9733" width="26.75" style="74" customWidth="1"/>
    <col min="9734" max="9734" width="40.625" style="74" customWidth="1"/>
    <col min="9735" max="9735" width="37.625" style="74" customWidth="1"/>
    <col min="9736" max="9736" width="17.5" style="74" customWidth="1"/>
    <col min="9737" max="9738" width="14.5" style="74" customWidth="1"/>
    <col min="9739" max="9985" width="10.75" style="74"/>
    <col min="9986" max="9986" width="9.25" style="74" customWidth="1"/>
    <col min="9987" max="9987" width="8.25" style="74" customWidth="1"/>
    <col min="9988" max="9988" width="36.125" style="74" customWidth="1"/>
    <col min="9989" max="9989" width="26.75" style="74" customWidth="1"/>
    <col min="9990" max="9990" width="40.625" style="74" customWidth="1"/>
    <col min="9991" max="9991" width="37.625" style="74" customWidth="1"/>
    <col min="9992" max="9992" width="17.5" style="74" customWidth="1"/>
    <col min="9993" max="9994" width="14.5" style="74" customWidth="1"/>
    <col min="9995" max="10241" width="10.75" style="74"/>
    <col min="10242" max="10242" width="9.25" style="74" customWidth="1"/>
    <col min="10243" max="10243" width="8.25" style="74" customWidth="1"/>
    <col min="10244" max="10244" width="36.125" style="74" customWidth="1"/>
    <col min="10245" max="10245" width="26.75" style="74" customWidth="1"/>
    <col min="10246" max="10246" width="40.625" style="74" customWidth="1"/>
    <col min="10247" max="10247" width="37.625" style="74" customWidth="1"/>
    <col min="10248" max="10248" width="17.5" style="74" customWidth="1"/>
    <col min="10249" max="10250" width="14.5" style="74" customWidth="1"/>
    <col min="10251" max="10497" width="10.75" style="74"/>
    <col min="10498" max="10498" width="9.25" style="74" customWidth="1"/>
    <col min="10499" max="10499" width="8.25" style="74" customWidth="1"/>
    <col min="10500" max="10500" width="36.125" style="74" customWidth="1"/>
    <col min="10501" max="10501" width="26.75" style="74" customWidth="1"/>
    <col min="10502" max="10502" width="40.625" style="74" customWidth="1"/>
    <col min="10503" max="10503" width="37.625" style="74" customWidth="1"/>
    <col min="10504" max="10504" width="17.5" style="74" customWidth="1"/>
    <col min="10505" max="10506" width="14.5" style="74" customWidth="1"/>
    <col min="10507" max="10753" width="10.75" style="74"/>
    <col min="10754" max="10754" width="9.25" style="74" customWidth="1"/>
    <col min="10755" max="10755" width="8.25" style="74" customWidth="1"/>
    <col min="10756" max="10756" width="36.125" style="74" customWidth="1"/>
    <col min="10757" max="10757" width="26.75" style="74" customWidth="1"/>
    <col min="10758" max="10758" width="40.625" style="74" customWidth="1"/>
    <col min="10759" max="10759" width="37.625" style="74" customWidth="1"/>
    <col min="10760" max="10760" width="17.5" style="74" customWidth="1"/>
    <col min="10761" max="10762" width="14.5" style="74" customWidth="1"/>
    <col min="10763" max="11009" width="10.75" style="74"/>
    <col min="11010" max="11010" width="9.25" style="74" customWidth="1"/>
    <col min="11011" max="11011" width="8.25" style="74" customWidth="1"/>
    <col min="11012" max="11012" width="36.125" style="74" customWidth="1"/>
    <col min="11013" max="11013" width="26.75" style="74" customWidth="1"/>
    <col min="11014" max="11014" width="40.625" style="74" customWidth="1"/>
    <col min="11015" max="11015" width="37.625" style="74" customWidth="1"/>
    <col min="11016" max="11016" width="17.5" style="74" customWidth="1"/>
    <col min="11017" max="11018" width="14.5" style="74" customWidth="1"/>
    <col min="11019" max="11265" width="10.75" style="74"/>
    <col min="11266" max="11266" width="9.25" style="74" customWidth="1"/>
    <col min="11267" max="11267" width="8.25" style="74" customWidth="1"/>
    <col min="11268" max="11268" width="36.125" style="74" customWidth="1"/>
    <col min="11269" max="11269" width="26.75" style="74" customWidth="1"/>
    <col min="11270" max="11270" width="40.625" style="74" customWidth="1"/>
    <col min="11271" max="11271" width="37.625" style="74" customWidth="1"/>
    <col min="11272" max="11272" width="17.5" style="74" customWidth="1"/>
    <col min="11273" max="11274" width="14.5" style="74" customWidth="1"/>
    <col min="11275" max="11521" width="10.75" style="74"/>
    <col min="11522" max="11522" width="9.25" style="74" customWidth="1"/>
    <col min="11523" max="11523" width="8.25" style="74" customWidth="1"/>
    <col min="11524" max="11524" width="36.125" style="74" customWidth="1"/>
    <col min="11525" max="11525" width="26.75" style="74" customWidth="1"/>
    <col min="11526" max="11526" width="40.625" style="74" customWidth="1"/>
    <col min="11527" max="11527" width="37.625" style="74" customWidth="1"/>
    <col min="11528" max="11528" width="17.5" style="74" customWidth="1"/>
    <col min="11529" max="11530" width="14.5" style="74" customWidth="1"/>
    <col min="11531" max="11777" width="10.75" style="74"/>
    <col min="11778" max="11778" width="9.25" style="74" customWidth="1"/>
    <col min="11779" max="11779" width="8.25" style="74" customWidth="1"/>
    <col min="11780" max="11780" width="36.125" style="74" customWidth="1"/>
    <col min="11781" max="11781" width="26.75" style="74" customWidth="1"/>
    <col min="11782" max="11782" width="40.625" style="74" customWidth="1"/>
    <col min="11783" max="11783" width="37.625" style="74" customWidth="1"/>
    <col min="11784" max="11784" width="17.5" style="74" customWidth="1"/>
    <col min="11785" max="11786" width="14.5" style="74" customWidth="1"/>
    <col min="11787" max="12033" width="10.75" style="74"/>
    <col min="12034" max="12034" width="9.25" style="74" customWidth="1"/>
    <col min="12035" max="12035" width="8.25" style="74" customWidth="1"/>
    <col min="12036" max="12036" width="36.125" style="74" customWidth="1"/>
    <col min="12037" max="12037" width="26.75" style="74" customWidth="1"/>
    <col min="12038" max="12038" width="40.625" style="74" customWidth="1"/>
    <col min="12039" max="12039" width="37.625" style="74" customWidth="1"/>
    <col min="12040" max="12040" width="17.5" style="74" customWidth="1"/>
    <col min="12041" max="12042" width="14.5" style="74" customWidth="1"/>
    <col min="12043" max="12289" width="10.75" style="74"/>
    <col min="12290" max="12290" width="9.25" style="74" customWidth="1"/>
    <col min="12291" max="12291" width="8.25" style="74" customWidth="1"/>
    <col min="12292" max="12292" width="36.125" style="74" customWidth="1"/>
    <col min="12293" max="12293" width="26.75" style="74" customWidth="1"/>
    <col min="12294" max="12294" width="40.625" style="74" customWidth="1"/>
    <col min="12295" max="12295" width="37.625" style="74" customWidth="1"/>
    <col min="12296" max="12296" width="17.5" style="74" customWidth="1"/>
    <col min="12297" max="12298" width="14.5" style="74" customWidth="1"/>
    <col min="12299" max="12545" width="10.75" style="74"/>
    <col min="12546" max="12546" width="9.25" style="74" customWidth="1"/>
    <col min="12547" max="12547" width="8.25" style="74" customWidth="1"/>
    <col min="12548" max="12548" width="36.125" style="74" customWidth="1"/>
    <col min="12549" max="12549" width="26.75" style="74" customWidth="1"/>
    <col min="12550" max="12550" width="40.625" style="74" customWidth="1"/>
    <col min="12551" max="12551" width="37.625" style="74" customWidth="1"/>
    <col min="12552" max="12552" width="17.5" style="74" customWidth="1"/>
    <col min="12553" max="12554" width="14.5" style="74" customWidth="1"/>
    <col min="12555" max="12801" width="10.75" style="74"/>
    <col min="12802" max="12802" width="9.25" style="74" customWidth="1"/>
    <col min="12803" max="12803" width="8.25" style="74" customWidth="1"/>
    <col min="12804" max="12804" width="36.125" style="74" customWidth="1"/>
    <col min="12805" max="12805" width="26.75" style="74" customWidth="1"/>
    <col min="12806" max="12806" width="40.625" style="74" customWidth="1"/>
    <col min="12807" max="12807" width="37.625" style="74" customWidth="1"/>
    <col min="12808" max="12808" width="17.5" style="74" customWidth="1"/>
    <col min="12809" max="12810" width="14.5" style="74" customWidth="1"/>
    <col min="12811" max="13057" width="10.75" style="74"/>
    <col min="13058" max="13058" width="9.25" style="74" customWidth="1"/>
    <col min="13059" max="13059" width="8.25" style="74" customWidth="1"/>
    <col min="13060" max="13060" width="36.125" style="74" customWidth="1"/>
    <col min="13061" max="13061" width="26.75" style="74" customWidth="1"/>
    <col min="13062" max="13062" width="40.625" style="74" customWidth="1"/>
    <col min="13063" max="13063" width="37.625" style="74" customWidth="1"/>
    <col min="13064" max="13064" width="17.5" style="74" customWidth="1"/>
    <col min="13065" max="13066" width="14.5" style="74" customWidth="1"/>
    <col min="13067" max="13313" width="10.75" style="74"/>
    <col min="13314" max="13314" width="9.25" style="74" customWidth="1"/>
    <col min="13315" max="13315" width="8.25" style="74" customWidth="1"/>
    <col min="13316" max="13316" width="36.125" style="74" customWidth="1"/>
    <col min="13317" max="13317" width="26.75" style="74" customWidth="1"/>
    <col min="13318" max="13318" width="40.625" style="74" customWidth="1"/>
    <col min="13319" max="13319" width="37.625" style="74" customWidth="1"/>
    <col min="13320" max="13320" width="17.5" style="74" customWidth="1"/>
    <col min="13321" max="13322" width="14.5" style="74" customWidth="1"/>
    <col min="13323" max="13569" width="10.75" style="74"/>
    <col min="13570" max="13570" width="9.25" style="74" customWidth="1"/>
    <col min="13571" max="13571" width="8.25" style="74" customWidth="1"/>
    <col min="13572" max="13572" width="36.125" style="74" customWidth="1"/>
    <col min="13573" max="13573" width="26.75" style="74" customWidth="1"/>
    <col min="13574" max="13574" width="40.625" style="74" customWidth="1"/>
    <col min="13575" max="13575" width="37.625" style="74" customWidth="1"/>
    <col min="13576" max="13576" width="17.5" style="74" customWidth="1"/>
    <col min="13577" max="13578" width="14.5" style="74" customWidth="1"/>
    <col min="13579" max="13825" width="10.75" style="74"/>
    <col min="13826" max="13826" width="9.25" style="74" customWidth="1"/>
    <col min="13827" max="13827" width="8.25" style="74" customWidth="1"/>
    <col min="13828" max="13828" width="36.125" style="74" customWidth="1"/>
    <col min="13829" max="13829" width="26.75" style="74" customWidth="1"/>
    <col min="13830" max="13830" width="40.625" style="74" customWidth="1"/>
    <col min="13831" max="13831" width="37.625" style="74" customWidth="1"/>
    <col min="13832" max="13832" width="17.5" style="74" customWidth="1"/>
    <col min="13833" max="13834" width="14.5" style="74" customWidth="1"/>
    <col min="13835" max="14081" width="10.75" style="74"/>
    <col min="14082" max="14082" width="9.25" style="74" customWidth="1"/>
    <col min="14083" max="14083" width="8.25" style="74" customWidth="1"/>
    <col min="14084" max="14084" width="36.125" style="74" customWidth="1"/>
    <col min="14085" max="14085" width="26.75" style="74" customWidth="1"/>
    <col min="14086" max="14086" width="40.625" style="74" customWidth="1"/>
    <col min="14087" max="14087" width="37.625" style="74" customWidth="1"/>
    <col min="14088" max="14088" width="17.5" style="74" customWidth="1"/>
    <col min="14089" max="14090" width="14.5" style="74" customWidth="1"/>
    <col min="14091" max="14337" width="10.75" style="74"/>
    <col min="14338" max="14338" width="9.25" style="74" customWidth="1"/>
    <col min="14339" max="14339" width="8.25" style="74" customWidth="1"/>
    <col min="14340" max="14340" width="36.125" style="74" customWidth="1"/>
    <col min="14341" max="14341" width="26.75" style="74" customWidth="1"/>
    <col min="14342" max="14342" width="40.625" style="74" customWidth="1"/>
    <col min="14343" max="14343" width="37.625" style="74" customWidth="1"/>
    <col min="14344" max="14344" width="17.5" style="74" customWidth="1"/>
    <col min="14345" max="14346" width="14.5" style="74" customWidth="1"/>
    <col min="14347" max="14593" width="10.75" style="74"/>
    <col min="14594" max="14594" width="9.25" style="74" customWidth="1"/>
    <col min="14595" max="14595" width="8.25" style="74" customWidth="1"/>
    <col min="14596" max="14596" width="36.125" style="74" customWidth="1"/>
    <col min="14597" max="14597" width="26.75" style="74" customWidth="1"/>
    <col min="14598" max="14598" width="40.625" style="74" customWidth="1"/>
    <col min="14599" max="14599" width="37.625" style="74" customWidth="1"/>
    <col min="14600" max="14600" width="17.5" style="74" customWidth="1"/>
    <col min="14601" max="14602" width="14.5" style="74" customWidth="1"/>
    <col min="14603" max="14849" width="10.75" style="74"/>
    <col min="14850" max="14850" width="9.25" style="74" customWidth="1"/>
    <col min="14851" max="14851" width="8.25" style="74" customWidth="1"/>
    <col min="14852" max="14852" width="36.125" style="74" customWidth="1"/>
    <col min="14853" max="14853" width="26.75" style="74" customWidth="1"/>
    <col min="14854" max="14854" width="40.625" style="74" customWidth="1"/>
    <col min="14855" max="14855" width="37.625" style="74" customWidth="1"/>
    <col min="14856" max="14856" width="17.5" style="74" customWidth="1"/>
    <col min="14857" max="14858" width="14.5" style="74" customWidth="1"/>
    <col min="14859" max="15105" width="10.75" style="74"/>
    <col min="15106" max="15106" width="9.25" style="74" customWidth="1"/>
    <col min="15107" max="15107" width="8.25" style="74" customWidth="1"/>
    <col min="15108" max="15108" width="36.125" style="74" customWidth="1"/>
    <col min="15109" max="15109" width="26.75" style="74" customWidth="1"/>
    <col min="15110" max="15110" width="40.625" style="74" customWidth="1"/>
    <col min="15111" max="15111" width="37.625" style="74" customWidth="1"/>
    <col min="15112" max="15112" width="17.5" style="74" customWidth="1"/>
    <col min="15113" max="15114" width="14.5" style="74" customWidth="1"/>
    <col min="15115" max="15361" width="10.75" style="74"/>
    <col min="15362" max="15362" width="9.25" style="74" customWidth="1"/>
    <col min="15363" max="15363" width="8.25" style="74" customWidth="1"/>
    <col min="15364" max="15364" width="36.125" style="74" customWidth="1"/>
    <col min="15365" max="15365" width="26.75" style="74" customWidth="1"/>
    <col min="15366" max="15366" width="40.625" style="74" customWidth="1"/>
    <col min="15367" max="15367" width="37.625" style="74" customWidth="1"/>
    <col min="15368" max="15368" width="17.5" style="74" customWidth="1"/>
    <col min="15369" max="15370" width="14.5" style="74" customWidth="1"/>
    <col min="15371" max="15617" width="10.75" style="74"/>
    <col min="15618" max="15618" width="9.25" style="74" customWidth="1"/>
    <col min="15619" max="15619" width="8.25" style="74" customWidth="1"/>
    <col min="15620" max="15620" width="36.125" style="74" customWidth="1"/>
    <col min="15621" max="15621" width="26.75" style="74" customWidth="1"/>
    <col min="15622" max="15622" width="40.625" style="74" customWidth="1"/>
    <col min="15623" max="15623" width="37.625" style="74" customWidth="1"/>
    <col min="15624" max="15624" width="17.5" style="74" customWidth="1"/>
    <col min="15625" max="15626" width="14.5" style="74" customWidth="1"/>
    <col min="15627" max="15873" width="10.75" style="74"/>
    <col min="15874" max="15874" width="9.25" style="74" customWidth="1"/>
    <col min="15875" max="15875" width="8.25" style="74" customWidth="1"/>
    <col min="15876" max="15876" width="36.125" style="74" customWidth="1"/>
    <col min="15877" max="15877" width="26.75" style="74" customWidth="1"/>
    <col min="15878" max="15878" width="40.625" style="74" customWidth="1"/>
    <col min="15879" max="15879" width="37.625" style="74" customWidth="1"/>
    <col min="15880" max="15880" width="17.5" style="74" customWidth="1"/>
    <col min="15881" max="15882" width="14.5" style="74" customWidth="1"/>
    <col min="15883" max="16129" width="10.75" style="74"/>
    <col min="16130" max="16130" width="9.25" style="74" customWidth="1"/>
    <col min="16131" max="16131" width="8.25" style="74" customWidth="1"/>
    <col min="16132" max="16132" width="36.125" style="74" customWidth="1"/>
    <col min="16133" max="16133" width="26.75" style="74" customWidth="1"/>
    <col min="16134" max="16134" width="40.625" style="74" customWidth="1"/>
    <col min="16135" max="16135" width="37.625" style="74" customWidth="1"/>
    <col min="16136" max="16136" width="17.5" style="74" customWidth="1"/>
    <col min="16137" max="16138" width="14.5" style="74" customWidth="1"/>
    <col min="16139" max="16384" width="10.75" style="74"/>
  </cols>
  <sheetData>
    <row r="1" spans="1:10" ht="30" customHeight="1">
      <c r="A1" s="71" t="s">
        <v>433</v>
      </c>
      <c r="B1" s="72"/>
      <c r="C1" s="72"/>
      <c r="D1" s="73"/>
      <c r="E1" s="73"/>
      <c r="F1" s="72"/>
      <c r="G1" s="72"/>
    </row>
    <row r="2" spans="1:10" ht="30" customHeight="1">
      <c r="A2" s="71"/>
      <c r="B2" s="72"/>
      <c r="C2" s="72"/>
      <c r="D2" s="73"/>
      <c r="E2" s="73"/>
      <c r="F2" s="72"/>
      <c r="G2" s="72"/>
    </row>
    <row r="3" spans="1:10" s="79" customFormat="1" ht="30.75" customHeight="1" thickBot="1">
      <c r="A3" s="75" t="str">
        <f>내역서갑지!B4</f>
        <v>고양시 학교밖청소년 전용공간 조성공사</v>
      </c>
      <c r="B3" s="76"/>
      <c r="C3" s="76"/>
      <c r="D3" s="77"/>
      <c r="E3" s="77"/>
      <c r="F3" s="78" t="s">
        <v>47</v>
      </c>
      <c r="G3" s="78" t="str">
        <f>NUMBERSTRING(D36,1) &amp;" 원정"</f>
        <v>사천구백구십구만 원정</v>
      </c>
    </row>
    <row r="4" spans="1:10" s="85" customFormat="1" ht="20.100000000000001" customHeight="1">
      <c r="A4" s="80" t="s">
        <v>48</v>
      </c>
      <c r="B4" s="81"/>
      <c r="C4" s="82"/>
      <c r="D4" s="83" t="s">
        <v>49</v>
      </c>
      <c r="E4" s="360" t="s">
        <v>50</v>
      </c>
      <c r="F4" s="361"/>
      <c r="G4" s="84" t="s">
        <v>51</v>
      </c>
    </row>
    <row r="5" spans="1:10" s="92" customFormat="1" ht="19.5" customHeight="1">
      <c r="A5" s="86"/>
      <c r="B5" s="87" t="s">
        <v>52</v>
      </c>
      <c r="C5" s="88" t="s">
        <v>53</v>
      </c>
      <c r="D5" s="89">
        <f>공종별집계표!F5</f>
        <v>10672774.528364757</v>
      </c>
      <c r="E5" s="90"/>
      <c r="F5" s="91"/>
      <c r="G5" s="131" t="s">
        <v>324</v>
      </c>
    </row>
    <row r="6" spans="1:10" s="92" customFormat="1" ht="19.5" customHeight="1">
      <c r="A6" s="86" t="s">
        <v>54</v>
      </c>
      <c r="B6" s="87" t="s">
        <v>55</v>
      </c>
      <c r="C6" s="93" t="s">
        <v>56</v>
      </c>
      <c r="D6" s="94">
        <v>0</v>
      </c>
      <c r="E6" s="95"/>
      <c r="F6" s="96"/>
      <c r="G6" s="97"/>
    </row>
    <row r="7" spans="1:10" s="92" customFormat="1" ht="19.5" customHeight="1">
      <c r="A7" s="86"/>
      <c r="B7" s="87"/>
      <c r="C7" s="93" t="s">
        <v>57</v>
      </c>
      <c r="D7" s="94">
        <v>0</v>
      </c>
      <c r="E7" s="95"/>
      <c r="F7" s="96"/>
      <c r="G7" s="97"/>
    </row>
    <row r="8" spans="1:10" s="92" customFormat="1" ht="19.5" customHeight="1">
      <c r="A8" s="86"/>
      <c r="B8" s="98" t="s">
        <v>39</v>
      </c>
      <c r="C8" s="99" t="s">
        <v>58</v>
      </c>
      <c r="D8" s="100">
        <f>D5+D7</f>
        <v>10672774.528364757</v>
      </c>
      <c r="E8" s="101"/>
      <c r="F8" s="102"/>
      <c r="G8" s="103"/>
    </row>
    <row r="9" spans="1:10" s="92" customFormat="1" ht="19.5" customHeight="1">
      <c r="A9" s="86" t="s">
        <v>59</v>
      </c>
      <c r="B9" s="104" t="s">
        <v>60</v>
      </c>
      <c r="C9" s="88" t="s">
        <v>61</v>
      </c>
      <c r="D9" s="105">
        <f>공종별집계표!H5</f>
        <v>20720641.715412352</v>
      </c>
      <c r="E9" s="106"/>
      <c r="F9" s="107"/>
      <c r="G9" s="108"/>
      <c r="H9" s="109"/>
    </row>
    <row r="10" spans="1:10" s="92" customFormat="1" ht="19.5" customHeight="1">
      <c r="A10" s="288"/>
      <c r="B10" s="110" t="s">
        <v>62</v>
      </c>
      <c r="C10" s="93" t="s">
        <v>63</v>
      </c>
      <c r="D10" s="94">
        <f>D9*F10</f>
        <v>2693683.423003606</v>
      </c>
      <c r="E10" s="246" t="s">
        <v>64</v>
      </c>
      <c r="F10" s="111">
        <v>0.13</v>
      </c>
      <c r="G10" s="131" t="s">
        <v>65</v>
      </c>
      <c r="H10" s="109"/>
      <c r="I10" s="113"/>
    </row>
    <row r="11" spans="1:10" s="92" customFormat="1" ht="19.5" customHeight="1">
      <c r="A11" s="86" t="s">
        <v>66</v>
      </c>
      <c r="B11" s="114" t="s">
        <v>39</v>
      </c>
      <c r="C11" s="99" t="s">
        <v>58</v>
      </c>
      <c r="D11" s="100">
        <f>D9+D10</f>
        <v>23414325.138415959</v>
      </c>
      <c r="E11" s="247"/>
      <c r="F11" s="115"/>
      <c r="G11" s="103"/>
      <c r="H11" s="116"/>
      <c r="I11" s="117"/>
    </row>
    <row r="12" spans="1:10" s="92" customFormat="1" ht="19.5" customHeight="1">
      <c r="A12" s="86"/>
      <c r="B12" s="104"/>
      <c r="C12" s="118" t="s">
        <v>67</v>
      </c>
      <c r="D12" s="89">
        <v>0</v>
      </c>
      <c r="E12" s="248"/>
      <c r="F12" s="119"/>
      <c r="G12" s="120"/>
      <c r="H12" s="116"/>
    </row>
    <row r="13" spans="1:10" s="92" customFormat="1" ht="19.5" customHeight="1">
      <c r="A13" s="86"/>
      <c r="B13" s="110"/>
      <c r="C13" s="93" t="s">
        <v>68</v>
      </c>
      <c r="D13" s="94">
        <f>공종별집계표!J23</f>
        <v>0</v>
      </c>
      <c r="E13" s="249"/>
      <c r="F13" s="121"/>
      <c r="G13" s="97"/>
      <c r="H13" s="122"/>
      <c r="I13" s="123"/>
      <c r="J13" s="123"/>
    </row>
    <row r="14" spans="1:10" s="92" customFormat="1" ht="19.5" customHeight="1">
      <c r="A14" s="86" t="s">
        <v>69</v>
      </c>
      <c r="B14" s="110"/>
      <c r="C14" s="93" t="s">
        <v>70</v>
      </c>
      <c r="D14" s="94">
        <f>TRUNC(D11*F14,0)</f>
        <v>866330</v>
      </c>
      <c r="E14" s="246" t="s">
        <v>71</v>
      </c>
      <c r="F14" s="111">
        <v>3.6999999999999998E-2</v>
      </c>
      <c r="G14" s="124"/>
      <c r="H14" s="122"/>
      <c r="I14" s="125"/>
      <c r="J14" s="125"/>
    </row>
    <row r="15" spans="1:10" s="92" customFormat="1" ht="19.5" customHeight="1">
      <c r="A15" s="86"/>
      <c r="B15" s="110" t="s">
        <v>72</v>
      </c>
      <c r="C15" s="126" t="s">
        <v>73</v>
      </c>
      <c r="D15" s="94">
        <f>TRUNC(D11*F15,0)</f>
        <v>236484</v>
      </c>
      <c r="E15" s="246" t="s">
        <v>74</v>
      </c>
      <c r="F15" s="111">
        <v>1.01E-2</v>
      </c>
      <c r="G15" s="131" t="s">
        <v>434</v>
      </c>
      <c r="H15" s="116"/>
    </row>
    <row r="16" spans="1:10" s="92" customFormat="1" ht="19.5" customHeight="1">
      <c r="A16" s="86"/>
      <c r="B16" s="110"/>
      <c r="C16" s="93" t="s">
        <v>75</v>
      </c>
      <c r="D16" s="94">
        <v>0</v>
      </c>
      <c r="E16" s="246" t="s">
        <v>76</v>
      </c>
      <c r="F16" s="301">
        <v>3.4950000000000002E-2</v>
      </c>
      <c r="G16" s="112"/>
      <c r="H16" s="116"/>
    </row>
    <row r="17" spans="1:9" s="92" customFormat="1" ht="19.5" customHeight="1">
      <c r="A17" s="86"/>
      <c r="B17" s="110"/>
      <c r="C17" s="93" t="s">
        <v>77</v>
      </c>
      <c r="D17" s="289">
        <f>D16*F17</f>
        <v>0</v>
      </c>
      <c r="E17" s="246" t="s">
        <v>75</v>
      </c>
      <c r="F17" s="127" t="s">
        <v>432</v>
      </c>
      <c r="G17" s="112"/>
      <c r="H17" s="116"/>
    </row>
    <row r="18" spans="1:9" s="92" customFormat="1" ht="19.5" customHeight="1">
      <c r="A18" s="86"/>
      <c r="B18" s="110"/>
      <c r="C18" s="93" t="s">
        <v>78</v>
      </c>
      <c r="D18" s="289">
        <v>0</v>
      </c>
      <c r="E18" s="246" t="s">
        <v>76</v>
      </c>
      <c r="F18" s="127" t="s">
        <v>79</v>
      </c>
      <c r="G18" s="112"/>
      <c r="H18" s="116"/>
    </row>
    <row r="19" spans="1:9" s="92" customFormat="1" ht="19.5" customHeight="1">
      <c r="A19" s="86" t="s">
        <v>80</v>
      </c>
      <c r="B19" s="110"/>
      <c r="C19" s="93" t="s">
        <v>81</v>
      </c>
      <c r="D19" s="289">
        <v>0</v>
      </c>
      <c r="E19" s="246" t="s">
        <v>76</v>
      </c>
      <c r="F19" s="111">
        <v>2.3E-2</v>
      </c>
      <c r="G19" s="112"/>
    </row>
    <row r="20" spans="1:9" s="92" customFormat="1" ht="19.5" customHeight="1">
      <c r="A20" s="86"/>
      <c r="B20" s="128"/>
      <c r="C20" s="362" t="s">
        <v>82</v>
      </c>
      <c r="D20" s="129">
        <f>(D5+D9)*F20</f>
        <v>919827.09594266932</v>
      </c>
      <c r="E20" s="250" t="s">
        <v>83</v>
      </c>
      <c r="F20" s="130">
        <v>2.93E-2</v>
      </c>
      <c r="G20" s="131" t="s">
        <v>84</v>
      </c>
      <c r="I20" s="132"/>
    </row>
    <row r="21" spans="1:9" s="92" customFormat="1" ht="19.5" customHeight="1">
      <c r="A21" s="86"/>
      <c r="B21" s="110"/>
      <c r="C21" s="363"/>
      <c r="D21" s="94">
        <v>0</v>
      </c>
      <c r="E21" s="251" t="s">
        <v>85</v>
      </c>
      <c r="F21" s="130" t="s">
        <v>86</v>
      </c>
      <c r="G21" s="133"/>
      <c r="I21" s="132"/>
    </row>
    <row r="22" spans="1:9" s="92" customFormat="1" ht="19.5" customHeight="1">
      <c r="A22" s="86"/>
      <c r="B22" s="110"/>
      <c r="C22" s="93" t="s">
        <v>87</v>
      </c>
      <c r="D22" s="94">
        <f>TRUNC((D8+D11)*F22,0)</f>
        <v>1977051</v>
      </c>
      <c r="E22" s="251" t="s">
        <v>88</v>
      </c>
      <c r="F22" s="134">
        <v>5.8000000000000003E-2</v>
      </c>
      <c r="G22" s="131" t="s">
        <v>65</v>
      </c>
      <c r="H22" s="125"/>
      <c r="I22" s="135"/>
    </row>
    <row r="23" spans="1:9" s="92" customFormat="1" ht="19.5" customHeight="1">
      <c r="A23" s="86"/>
      <c r="B23" s="110" t="s">
        <v>39</v>
      </c>
      <c r="C23" s="93" t="s">
        <v>89</v>
      </c>
      <c r="D23" s="94">
        <v>0</v>
      </c>
      <c r="E23" s="251" t="s">
        <v>90</v>
      </c>
      <c r="F23" s="134">
        <v>5.0000000000000001E-3</v>
      </c>
      <c r="G23" s="133" t="s">
        <v>91</v>
      </c>
      <c r="H23" s="125"/>
      <c r="I23" s="135"/>
    </row>
    <row r="24" spans="1:9" s="92" customFormat="1" ht="19.5" customHeight="1">
      <c r="A24" s="86"/>
      <c r="B24" s="110"/>
      <c r="C24" s="93" t="s">
        <v>92</v>
      </c>
      <c r="D24" s="94">
        <f>TRUNC((D8+D9+D13)*0.07%)*0</f>
        <v>0</v>
      </c>
      <c r="E24" s="251"/>
      <c r="F24" s="136"/>
      <c r="G24" s="133"/>
      <c r="H24" s="125"/>
      <c r="I24" s="135"/>
    </row>
    <row r="25" spans="1:9" s="92" customFormat="1" ht="19.5" customHeight="1">
      <c r="A25" s="86"/>
      <c r="B25" s="110"/>
      <c r="C25" s="93" t="s">
        <v>93</v>
      </c>
      <c r="D25" s="94">
        <v>0</v>
      </c>
      <c r="E25" s="251" t="s">
        <v>94</v>
      </c>
      <c r="F25" s="134">
        <v>1.1000000000000001E-3</v>
      </c>
      <c r="G25" s="133"/>
      <c r="H25" s="125"/>
      <c r="I25" s="135"/>
    </row>
    <row r="26" spans="1:9" s="92" customFormat="1" ht="19.5" customHeight="1">
      <c r="A26" s="86"/>
      <c r="B26" s="110"/>
      <c r="C26" s="137" t="s">
        <v>95</v>
      </c>
      <c r="D26" s="138">
        <f>SUM(D12:D25)-D21</f>
        <v>3999692.0959426695</v>
      </c>
      <c r="E26" s="252"/>
      <c r="F26" s="139"/>
      <c r="G26" s="140"/>
      <c r="H26" s="125"/>
    </row>
    <row r="27" spans="1:9" s="92" customFormat="1" ht="19.5" customHeight="1">
      <c r="A27" s="141"/>
      <c r="B27" s="142"/>
      <c r="C27" s="143" t="s">
        <v>96</v>
      </c>
      <c r="D27" s="144">
        <f>D8+D11+D26</f>
        <v>38086791.762723386</v>
      </c>
      <c r="E27" s="253"/>
      <c r="F27" s="145"/>
      <c r="G27" s="146"/>
    </row>
    <row r="28" spans="1:9" s="92" customFormat="1" ht="19.5" customHeight="1">
      <c r="A28" s="364" t="s">
        <v>97</v>
      </c>
      <c r="B28" s="365"/>
      <c r="C28" s="365"/>
      <c r="D28" s="89">
        <f>TRUNC(D27*F28,0)</f>
        <v>2285207</v>
      </c>
      <c r="E28" s="248" t="s">
        <v>98</v>
      </c>
      <c r="F28" s="147">
        <v>0.06</v>
      </c>
      <c r="G28" s="133" t="s">
        <v>323</v>
      </c>
      <c r="H28" s="148"/>
    </row>
    <row r="29" spans="1:9" s="92" customFormat="1" ht="19.5" customHeight="1">
      <c r="A29" s="358" t="s">
        <v>100</v>
      </c>
      <c r="B29" s="359"/>
      <c r="C29" s="359"/>
      <c r="D29" s="94">
        <f>INT(((D11+D26+D28)*F29))</f>
        <v>4454883</v>
      </c>
      <c r="E29" s="246" t="s">
        <v>101</v>
      </c>
      <c r="F29" s="149">
        <v>0.15</v>
      </c>
      <c r="G29" s="133" t="s">
        <v>99</v>
      </c>
      <c r="H29" s="148"/>
    </row>
    <row r="30" spans="1:9" s="92" customFormat="1" ht="19.5" customHeight="1">
      <c r="A30" s="358" t="s">
        <v>102</v>
      </c>
      <c r="B30" s="359"/>
      <c r="C30" s="359"/>
      <c r="D30" s="94">
        <f>D27+D28+D29</f>
        <v>44826881.762723386</v>
      </c>
      <c r="E30" s="254"/>
      <c r="F30" s="150"/>
      <c r="G30" s="151"/>
    </row>
    <row r="31" spans="1:9" s="92" customFormat="1" ht="19.5" customHeight="1">
      <c r="A31" s="358" t="s">
        <v>103</v>
      </c>
      <c r="B31" s="359"/>
      <c r="C31" s="359"/>
      <c r="D31" s="94">
        <f>내역서!M74</f>
        <v>625432.5</v>
      </c>
      <c r="E31" s="254"/>
      <c r="F31" s="150"/>
      <c r="G31" s="151"/>
    </row>
    <row r="32" spans="1:9" s="92" customFormat="1" ht="19.5" customHeight="1">
      <c r="A32" s="358" t="s">
        <v>104</v>
      </c>
      <c r="B32" s="359"/>
      <c r="C32" s="359"/>
      <c r="D32" s="94">
        <f>D30+D31</f>
        <v>45452314.262723386</v>
      </c>
      <c r="E32" s="246"/>
      <c r="F32" s="127"/>
      <c r="G32" s="97"/>
    </row>
    <row r="33" spans="1:10" s="92" customFormat="1" ht="19.5" customHeight="1">
      <c r="A33" s="358" t="s">
        <v>105</v>
      </c>
      <c r="B33" s="359"/>
      <c r="C33" s="359"/>
      <c r="D33" s="289">
        <f>D32*F33</f>
        <v>4545231.4262723392</v>
      </c>
      <c r="E33" s="246" t="s">
        <v>106</v>
      </c>
      <c r="F33" s="149">
        <v>0.1</v>
      </c>
      <c r="G33" s="97"/>
    </row>
    <row r="34" spans="1:10" s="92" customFormat="1" ht="19.5" customHeight="1">
      <c r="A34" s="358" t="s">
        <v>107</v>
      </c>
      <c r="B34" s="359"/>
      <c r="C34" s="359"/>
      <c r="D34" s="152">
        <f>D33+D32</f>
        <v>49997545.688995726</v>
      </c>
      <c r="E34" s="153"/>
      <c r="F34" s="96"/>
      <c r="G34" s="97"/>
    </row>
    <row r="35" spans="1:10" s="92" customFormat="1" ht="19.5" customHeight="1">
      <c r="A35" s="358"/>
      <c r="B35" s="359"/>
      <c r="C35" s="366"/>
      <c r="D35" s="138"/>
      <c r="E35" s="154"/>
      <c r="F35" s="155"/>
      <c r="G35" s="140"/>
    </row>
    <row r="36" spans="1:10" s="92" customFormat="1" ht="19.5" customHeight="1" thickBot="1">
      <c r="A36" s="356" t="s">
        <v>108</v>
      </c>
      <c r="B36" s="357"/>
      <c r="C36" s="357"/>
      <c r="D36" s="156">
        <f>TRUNC(D34, -4)</f>
        <v>49990000</v>
      </c>
      <c r="E36" s="157"/>
      <c r="F36" s="158"/>
      <c r="G36" s="159" t="s">
        <v>753</v>
      </c>
      <c r="H36" s="85"/>
      <c r="I36" s="85"/>
      <c r="J36" s="85"/>
    </row>
    <row r="37" spans="1:10" s="92" customFormat="1" ht="19.5" customHeight="1">
      <c r="A37" s="160"/>
      <c r="B37" s="74"/>
      <c r="C37" s="74"/>
      <c r="D37" s="161"/>
      <c r="E37" s="161"/>
      <c r="F37" s="74"/>
      <c r="G37" s="74"/>
      <c r="H37" s="74"/>
      <c r="I37" s="74"/>
      <c r="J37" s="74"/>
    </row>
    <row r="38" spans="1:10" s="92" customFormat="1" ht="19.5" customHeight="1">
      <c r="A38" s="160"/>
      <c r="B38" s="74"/>
      <c r="C38" s="74"/>
      <c r="D38" s="161"/>
      <c r="E38" s="161"/>
      <c r="F38" s="74"/>
      <c r="G38" s="74"/>
      <c r="H38" s="74"/>
      <c r="I38" s="74"/>
      <c r="J38" s="74"/>
    </row>
    <row r="39" spans="1:10" s="85" customFormat="1" ht="19.5" customHeight="1">
      <c r="A39" s="160"/>
      <c r="B39" s="74"/>
      <c r="C39" s="74"/>
      <c r="D39" s="161"/>
      <c r="E39" s="161"/>
      <c r="F39" s="74"/>
      <c r="G39" s="74"/>
      <c r="H39" s="74"/>
      <c r="I39" s="74"/>
      <c r="J39" s="74"/>
    </row>
    <row r="40" spans="1:10" ht="21.75" customHeight="1">
      <c r="A40" s="160"/>
    </row>
    <row r="41" spans="1:10" ht="21.75" customHeight="1">
      <c r="A41" s="160"/>
    </row>
    <row r="42" spans="1:10" ht="21.75" customHeight="1">
      <c r="A42" s="160"/>
    </row>
    <row r="43" spans="1:10" ht="21.75" customHeight="1">
      <c r="A43" s="160"/>
    </row>
    <row r="44" spans="1:10" ht="21.75" customHeight="1">
      <c r="A44" s="160"/>
    </row>
    <row r="45" spans="1:10" ht="21.75" customHeight="1">
      <c r="A45" s="160"/>
    </row>
    <row r="46" spans="1:10" ht="21.75" customHeight="1">
      <c r="A46" s="160"/>
    </row>
    <row r="47" spans="1:10" ht="21.75" customHeight="1">
      <c r="A47" s="160"/>
    </row>
    <row r="48" spans="1:10" ht="21.75" customHeight="1">
      <c r="A48" s="160"/>
    </row>
    <row r="49" spans="1:1" ht="21.75" customHeight="1">
      <c r="A49" s="160"/>
    </row>
    <row r="50" spans="1:1" ht="21.75" customHeight="1">
      <c r="A50" s="160"/>
    </row>
    <row r="51" spans="1:1" ht="21.75" customHeight="1">
      <c r="A51" s="160"/>
    </row>
    <row r="52" spans="1:1" ht="21.75" customHeight="1">
      <c r="A52" s="160"/>
    </row>
    <row r="53" spans="1:1" ht="21.75" customHeight="1">
      <c r="A53" s="160"/>
    </row>
    <row r="54" spans="1:1" ht="21.75" customHeight="1">
      <c r="A54" s="160"/>
    </row>
    <row r="55" spans="1:1" ht="21.75" customHeight="1">
      <c r="A55" s="160"/>
    </row>
    <row r="56" spans="1:1" ht="21.75" customHeight="1">
      <c r="A56" s="160"/>
    </row>
    <row r="57" spans="1:1" ht="21.75" customHeight="1">
      <c r="A57" s="160"/>
    </row>
    <row r="58" spans="1:1" ht="21.75" customHeight="1">
      <c r="A58" s="160"/>
    </row>
    <row r="59" spans="1:1" ht="21.75" customHeight="1">
      <c r="A59" s="160"/>
    </row>
    <row r="60" spans="1:1" ht="21.75" customHeight="1">
      <c r="A60" s="160"/>
    </row>
    <row r="61" spans="1:1" ht="21.75" customHeight="1">
      <c r="A61" s="160"/>
    </row>
    <row r="62" spans="1:1" ht="21.75" customHeight="1">
      <c r="A62" s="160"/>
    </row>
    <row r="63" spans="1:1" ht="21.75" customHeight="1">
      <c r="A63" s="160"/>
    </row>
    <row r="64" spans="1:1" ht="21.75" customHeight="1">
      <c r="A64" s="160"/>
    </row>
    <row r="65" spans="1:1" ht="21.75" customHeight="1">
      <c r="A65" s="160"/>
    </row>
    <row r="66" spans="1:1" ht="21.75" customHeight="1">
      <c r="A66" s="160"/>
    </row>
    <row r="67" spans="1:1" ht="21.75" customHeight="1">
      <c r="A67" s="160"/>
    </row>
    <row r="68" spans="1:1" ht="21.75" customHeight="1">
      <c r="A68" s="160"/>
    </row>
    <row r="69" spans="1:1" ht="21.75" customHeight="1">
      <c r="A69" s="160"/>
    </row>
    <row r="70" spans="1:1" ht="21.75" customHeight="1">
      <c r="A70" s="160"/>
    </row>
    <row r="71" spans="1:1" ht="21.75" customHeight="1">
      <c r="A71" s="160"/>
    </row>
    <row r="72" spans="1:1" ht="21.75" customHeight="1">
      <c r="A72" s="160"/>
    </row>
    <row r="73" spans="1:1" ht="21.75" customHeight="1">
      <c r="A73" s="160"/>
    </row>
    <row r="74" spans="1:1" ht="21.75" customHeight="1">
      <c r="A74" s="160"/>
    </row>
    <row r="75" spans="1:1" ht="21.75" customHeight="1">
      <c r="A75" s="160"/>
    </row>
    <row r="76" spans="1:1" ht="21.75" customHeight="1">
      <c r="A76" s="160"/>
    </row>
    <row r="77" spans="1:1" ht="21.75" customHeight="1">
      <c r="A77" s="160"/>
    </row>
    <row r="78" spans="1:1" ht="21.75" customHeight="1">
      <c r="A78" s="160"/>
    </row>
    <row r="79" spans="1:1" ht="21.75" customHeight="1">
      <c r="A79" s="160"/>
    </row>
    <row r="80" spans="1:1" ht="21.75" customHeight="1">
      <c r="A80" s="160"/>
    </row>
    <row r="81" spans="1:1" ht="21.75" customHeight="1">
      <c r="A81" s="160"/>
    </row>
    <row r="82" spans="1:1" ht="21.75" customHeight="1">
      <c r="A82" s="160"/>
    </row>
    <row r="83" spans="1:1" ht="21.75" customHeight="1">
      <c r="A83" s="160"/>
    </row>
    <row r="84" spans="1:1" ht="21.75" customHeight="1">
      <c r="A84" s="160"/>
    </row>
    <row r="85" spans="1:1" ht="21.75" customHeight="1">
      <c r="A85" s="160"/>
    </row>
    <row r="86" spans="1:1" ht="21.75" customHeight="1">
      <c r="A86" s="160"/>
    </row>
    <row r="87" spans="1:1" ht="21.75" customHeight="1">
      <c r="A87" s="160"/>
    </row>
    <row r="88" spans="1:1" ht="21.75" customHeight="1">
      <c r="A88" s="160"/>
    </row>
    <row r="89" spans="1:1" ht="21.75" customHeight="1">
      <c r="A89" s="160"/>
    </row>
    <row r="90" spans="1:1" ht="21.75" customHeight="1">
      <c r="A90" s="160"/>
    </row>
    <row r="91" spans="1:1" ht="21.75" customHeight="1">
      <c r="A91" s="160"/>
    </row>
    <row r="92" spans="1:1" ht="21.75" customHeight="1">
      <c r="A92" s="160"/>
    </row>
    <row r="93" spans="1:1" ht="21.75" customHeight="1">
      <c r="A93" s="160"/>
    </row>
    <row r="94" spans="1:1" ht="21.75" customHeight="1">
      <c r="A94" s="160"/>
    </row>
    <row r="95" spans="1:1" ht="21.75" customHeight="1">
      <c r="A95" s="160"/>
    </row>
    <row r="96" spans="1:1" ht="21.75" customHeight="1">
      <c r="A96" s="160"/>
    </row>
    <row r="97" spans="1:1" ht="21.75" customHeight="1">
      <c r="A97" s="160"/>
    </row>
    <row r="98" spans="1:1" ht="21.75" customHeight="1">
      <c r="A98" s="160"/>
    </row>
    <row r="99" spans="1:1" ht="21.75" customHeight="1">
      <c r="A99" s="160"/>
    </row>
    <row r="100" spans="1:1" ht="21.75" customHeight="1">
      <c r="A100" s="160"/>
    </row>
    <row r="101" spans="1:1" ht="21.75" customHeight="1">
      <c r="A101" s="160"/>
    </row>
    <row r="102" spans="1:1" ht="21.75" customHeight="1">
      <c r="A102" s="160"/>
    </row>
    <row r="103" spans="1:1" ht="21.75" customHeight="1">
      <c r="A103" s="160"/>
    </row>
    <row r="104" spans="1:1" ht="21.75" customHeight="1">
      <c r="A104" s="160"/>
    </row>
    <row r="105" spans="1:1" ht="21.75" customHeight="1">
      <c r="A105" s="160"/>
    </row>
    <row r="106" spans="1:1" ht="21.75" customHeight="1">
      <c r="A106" s="160"/>
    </row>
    <row r="107" spans="1:1" ht="21.75" customHeight="1">
      <c r="A107" s="160"/>
    </row>
    <row r="108" spans="1:1" ht="21.75" customHeight="1">
      <c r="A108" s="160"/>
    </row>
    <row r="109" spans="1:1" ht="21.75" customHeight="1">
      <c r="A109" s="160"/>
    </row>
    <row r="110" spans="1:1" ht="21.75" customHeight="1">
      <c r="A110" s="160"/>
    </row>
    <row r="111" spans="1:1" ht="21.75" customHeight="1">
      <c r="A111" s="160"/>
    </row>
    <row r="112" spans="1:1" ht="21.75" customHeight="1">
      <c r="A112" s="160"/>
    </row>
    <row r="113" spans="1:1" ht="21.75" customHeight="1">
      <c r="A113" s="160"/>
    </row>
    <row r="114" spans="1:1" ht="21.75" customHeight="1">
      <c r="A114" s="160"/>
    </row>
    <row r="115" spans="1:1" ht="21.75" customHeight="1">
      <c r="A115" s="160"/>
    </row>
    <row r="116" spans="1:1" ht="21.75" customHeight="1">
      <c r="A116" s="160"/>
    </row>
    <row r="117" spans="1:1" ht="21.75" customHeight="1">
      <c r="A117" s="160"/>
    </row>
    <row r="118" spans="1:1" ht="21.75" customHeight="1">
      <c r="A118" s="160"/>
    </row>
    <row r="119" spans="1:1" ht="21.75" customHeight="1">
      <c r="A119" s="160"/>
    </row>
    <row r="120" spans="1:1" ht="21.75" customHeight="1">
      <c r="A120" s="160"/>
    </row>
    <row r="121" spans="1:1" ht="21.75" customHeight="1">
      <c r="A121" s="160"/>
    </row>
    <row r="122" spans="1:1" ht="21.75" customHeight="1">
      <c r="A122" s="160"/>
    </row>
    <row r="123" spans="1:1" ht="21.75" customHeight="1">
      <c r="A123" s="160"/>
    </row>
    <row r="124" spans="1:1" ht="21.75" customHeight="1">
      <c r="A124" s="160"/>
    </row>
    <row r="125" spans="1:1" ht="21.75" customHeight="1">
      <c r="A125" s="160"/>
    </row>
    <row r="126" spans="1:1" ht="21.75" customHeight="1">
      <c r="A126" s="160"/>
    </row>
    <row r="127" spans="1:1" ht="21.75" customHeight="1">
      <c r="A127" s="160"/>
    </row>
    <row r="128" spans="1:1" ht="21.75" customHeight="1">
      <c r="A128" s="160"/>
    </row>
    <row r="129" spans="1:1" ht="21.75" customHeight="1">
      <c r="A129" s="160"/>
    </row>
    <row r="130" spans="1:1" ht="21.75" customHeight="1">
      <c r="A130" s="160"/>
    </row>
    <row r="131" spans="1:1" ht="21.75" customHeight="1">
      <c r="A131" s="160"/>
    </row>
    <row r="132" spans="1:1" ht="21.75" customHeight="1">
      <c r="A132" s="160"/>
    </row>
    <row r="133" spans="1:1" ht="21.75" customHeight="1">
      <c r="A133" s="160"/>
    </row>
    <row r="134" spans="1:1" ht="21.75" customHeight="1">
      <c r="A134" s="160"/>
    </row>
    <row r="135" spans="1:1" ht="21.75" customHeight="1">
      <c r="A135" s="160"/>
    </row>
    <row r="136" spans="1:1" ht="21.75" customHeight="1">
      <c r="A136" s="160"/>
    </row>
    <row r="137" spans="1:1" ht="21.75" customHeight="1">
      <c r="A137" s="160"/>
    </row>
    <row r="138" spans="1:1" ht="21.75" customHeight="1">
      <c r="A138" s="160"/>
    </row>
    <row r="139" spans="1:1" ht="21.75" customHeight="1">
      <c r="A139" s="160"/>
    </row>
    <row r="140" spans="1:1" ht="21.75" customHeight="1">
      <c r="A140" s="160"/>
    </row>
    <row r="141" spans="1:1" ht="21.75" customHeight="1">
      <c r="A141" s="160"/>
    </row>
    <row r="142" spans="1:1" ht="21.75" customHeight="1">
      <c r="A142" s="160"/>
    </row>
    <row r="143" spans="1:1" ht="21.75" customHeight="1">
      <c r="A143" s="160"/>
    </row>
    <row r="144" spans="1:1" ht="21.75" customHeight="1">
      <c r="A144" s="160"/>
    </row>
    <row r="145" spans="1:1" ht="21.75" customHeight="1">
      <c r="A145" s="160"/>
    </row>
    <row r="146" spans="1:1" ht="21.75" customHeight="1">
      <c r="A146" s="160"/>
    </row>
    <row r="147" spans="1:1" ht="21.75" customHeight="1">
      <c r="A147" s="160"/>
    </row>
    <row r="148" spans="1:1" ht="21.75" customHeight="1">
      <c r="A148" s="160"/>
    </row>
    <row r="149" spans="1:1" ht="21.75" customHeight="1">
      <c r="A149" s="160"/>
    </row>
    <row r="150" spans="1:1" ht="21.75" customHeight="1">
      <c r="A150" s="160"/>
    </row>
    <row r="151" spans="1:1" ht="21.75" customHeight="1">
      <c r="A151" s="160"/>
    </row>
    <row r="152" spans="1:1" ht="21.75" customHeight="1">
      <c r="A152" s="160"/>
    </row>
    <row r="153" spans="1:1" ht="21.75" customHeight="1">
      <c r="A153" s="160"/>
    </row>
    <row r="154" spans="1:1" ht="21.75" customHeight="1">
      <c r="A154" s="160"/>
    </row>
    <row r="155" spans="1:1" ht="21.75" customHeight="1">
      <c r="A155" s="160"/>
    </row>
    <row r="156" spans="1:1" ht="21.75" customHeight="1">
      <c r="A156" s="160"/>
    </row>
    <row r="157" spans="1:1" ht="21.75" customHeight="1">
      <c r="A157" s="160"/>
    </row>
    <row r="158" spans="1:1" ht="21.75" customHeight="1">
      <c r="A158" s="160"/>
    </row>
    <row r="159" spans="1:1" ht="21.75" customHeight="1">
      <c r="A159" s="160"/>
    </row>
    <row r="160" spans="1:1" ht="21.75" customHeight="1">
      <c r="A160" s="160"/>
    </row>
    <row r="161" spans="1:1" ht="21.75" customHeight="1">
      <c r="A161" s="160"/>
    </row>
    <row r="162" spans="1:1" ht="21.75" customHeight="1">
      <c r="A162" s="160"/>
    </row>
    <row r="163" spans="1:1" ht="21.75" customHeight="1">
      <c r="A163" s="160"/>
    </row>
    <row r="164" spans="1:1" ht="21.75" customHeight="1">
      <c r="A164" s="160"/>
    </row>
    <row r="165" spans="1:1" ht="21.75" customHeight="1">
      <c r="A165" s="160"/>
    </row>
    <row r="166" spans="1:1" ht="21.75" customHeight="1">
      <c r="A166" s="160"/>
    </row>
    <row r="167" spans="1:1" ht="21.75" customHeight="1">
      <c r="A167" s="160"/>
    </row>
    <row r="168" spans="1:1" ht="21.75" customHeight="1">
      <c r="A168" s="160"/>
    </row>
    <row r="169" spans="1:1" ht="21.75" customHeight="1">
      <c r="A169" s="160"/>
    </row>
    <row r="170" spans="1:1" ht="21.75" customHeight="1">
      <c r="A170" s="160"/>
    </row>
    <row r="171" spans="1:1" ht="21.75" customHeight="1">
      <c r="A171" s="160"/>
    </row>
    <row r="172" spans="1:1" ht="21.75" customHeight="1">
      <c r="A172" s="160"/>
    </row>
    <row r="173" spans="1:1" ht="21.75" customHeight="1">
      <c r="A173" s="160"/>
    </row>
    <row r="174" spans="1:1" ht="21.75" customHeight="1">
      <c r="A174" s="160"/>
    </row>
    <row r="175" spans="1:1" ht="21.75" customHeight="1">
      <c r="A175" s="160"/>
    </row>
    <row r="176" spans="1:1" ht="21.75" customHeight="1">
      <c r="A176" s="160"/>
    </row>
    <row r="177" spans="1:1" ht="21.75" customHeight="1">
      <c r="A177" s="160"/>
    </row>
    <row r="178" spans="1:1" ht="21.75" customHeight="1">
      <c r="A178" s="160"/>
    </row>
    <row r="179" spans="1:1" ht="21.75" customHeight="1">
      <c r="A179" s="160"/>
    </row>
    <row r="180" spans="1:1" ht="21.75" customHeight="1">
      <c r="A180" s="160"/>
    </row>
    <row r="181" spans="1:1" ht="21.75" customHeight="1">
      <c r="A181" s="160"/>
    </row>
    <row r="182" spans="1:1" ht="21.75" customHeight="1">
      <c r="A182" s="160"/>
    </row>
    <row r="183" spans="1:1" ht="21.75" customHeight="1">
      <c r="A183" s="160"/>
    </row>
    <row r="184" spans="1:1" ht="21.75" customHeight="1">
      <c r="A184" s="160"/>
    </row>
    <row r="185" spans="1:1" ht="21.75" customHeight="1">
      <c r="A185" s="160"/>
    </row>
    <row r="186" spans="1:1" ht="21.75" customHeight="1">
      <c r="A186" s="160"/>
    </row>
    <row r="187" spans="1:1" ht="21.75" customHeight="1">
      <c r="A187" s="160"/>
    </row>
    <row r="188" spans="1:1" ht="21.75" customHeight="1">
      <c r="A188" s="160"/>
    </row>
    <row r="189" spans="1:1" ht="21.75" customHeight="1">
      <c r="A189" s="160"/>
    </row>
    <row r="190" spans="1:1" ht="21.75" customHeight="1">
      <c r="A190" s="160"/>
    </row>
    <row r="191" spans="1:1" ht="21.75" customHeight="1">
      <c r="A191" s="160"/>
    </row>
    <row r="192" spans="1:1" ht="21.75" customHeight="1">
      <c r="A192" s="160"/>
    </row>
    <row r="193" spans="1:1" ht="21.75" customHeight="1">
      <c r="A193" s="160"/>
    </row>
    <row r="194" spans="1:1" ht="21.75" customHeight="1">
      <c r="A194" s="160"/>
    </row>
    <row r="195" spans="1:1" ht="21.75" customHeight="1">
      <c r="A195" s="160"/>
    </row>
    <row r="196" spans="1:1" ht="21.75" customHeight="1">
      <c r="A196" s="160"/>
    </row>
    <row r="197" spans="1:1" ht="21.75" customHeight="1">
      <c r="A197" s="160"/>
    </row>
    <row r="198" spans="1:1" ht="21.75" customHeight="1">
      <c r="A198" s="160"/>
    </row>
    <row r="199" spans="1:1" ht="21.75" customHeight="1">
      <c r="A199" s="160"/>
    </row>
    <row r="200" spans="1:1" ht="21.75" customHeight="1">
      <c r="A200" s="160"/>
    </row>
    <row r="201" spans="1:1" ht="21.75" customHeight="1">
      <c r="A201" s="160"/>
    </row>
    <row r="202" spans="1:1" ht="21.75" customHeight="1">
      <c r="A202" s="160"/>
    </row>
    <row r="203" spans="1:1" ht="21.75" customHeight="1">
      <c r="A203" s="160"/>
    </row>
    <row r="204" spans="1:1" ht="21.75" customHeight="1">
      <c r="A204" s="160"/>
    </row>
    <row r="205" spans="1:1" ht="21.75" customHeight="1">
      <c r="A205" s="160"/>
    </row>
    <row r="206" spans="1:1" ht="21.75" customHeight="1">
      <c r="A206" s="160"/>
    </row>
    <row r="207" spans="1:1" ht="21.75" customHeight="1">
      <c r="A207" s="160"/>
    </row>
    <row r="208" spans="1:1" ht="21.75" customHeight="1">
      <c r="A208" s="160"/>
    </row>
    <row r="209" spans="1:1" ht="21.75" customHeight="1">
      <c r="A209" s="160"/>
    </row>
    <row r="210" spans="1:1" ht="21.75" customHeight="1">
      <c r="A210" s="160"/>
    </row>
    <row r="211" spans="1:1" ht="21.75" customHeight="1">
      <c r="A211" s="160"/>
    </row>
    <row r="212" spans="1:1" ht="21.75" customHeight="1">
      <c r="A212" s="160"/>
    </row>
    <row r="213" spans="1:1" ht="21.75" customHeight="1">
      <c r="A213" s="160"/>
    </row>
    <row r="214" spans="1:1" ht="21.75" customHeight="1">
      <c r="A214" s="160"/>
    </row>
    <row r="215" spans="1:1" ht="21.75" customHeight="1">
      <c r="A215" s="160"/>
    </row>
    <row r="216" spans="1:1" ht="21.75" customHeight="1">
      <c r="A216" s="160"/>
    </row>
    <row r="217" spans="1:1" ht="21.75" customHeight="1">
      <c r="A217" s="160"/>
    </row>
    <row r="218" spans="1:1" ht="21.75" customHeight="1">
      <c r="A218" s="160"/>
    </row>
    <row r="219" spans="1:1" ht="21.75" customHeight="1">
      <c r="A219" s="160"/>
    </row>
    <row r="220" spans="1:1" ht="21.75" customHeight="1">
      <c r="A220" s="160"/>
    </row>
    <row r="221" spans="1:1" ht="21.75" customHeight="1">
      <c r="A221" s="160"/>
    </row>
    <row r="222" spans="1:1" ht="21.75" customHeight="1">
      <c r="A222" s="160"/>
    </row>
    <row r="223" spans="1:1" ht="21.75" customHeight="1">
      <c r="A223" s="160"/>
    </row>
    <row r="224" spans="1:1" ht="21.75" customHeight="1">
      <c r="A224" s="160"/>
    </row>
    <row r="225" spans="1:1" ht="21.75" customHeight="1">
      <c r="A225" s="160"/>
    </row>
    <row r="226" spans="1:1" ht="21.75" customHeight="1">
      <c r="A226" s="160"/>
    </row>
    <row r="227" spans="1:1" ht="21.75" customHeight="1">
      <c r="A227" s="160"/>
    </row>
    <row r="228" spans="1:1" ht="21.75" customHeight="1">
      <c r="A228" s="160"/>
    </row>
    <row r="229" spans="1:1" ht="21.75" customHeight="1">
      <c r="A229" s="160"/>
    </row>
    <row r="230" spans="1:1" ht="21.75" customHeight="1">
      <c r="A230" s="160"/>
    </row>
    <row r="231" spans="1:1" ht="21.75" customHeight="1">
      <c r="A231" s="160"/>
    </row>
    <row r="232" spans="1:1" ht="21.75" customHeight="1">
      <c r="A232" s="160"/>
    </row>
    <row r="233" spans="1:1" ht="21.75" customHeight="1">
      <c r="A233" s="160"/>
    </row>
    <row r="234" spans="1:1" ht="21.75" customHeight="1">
      <c r="A234" s="160"/>
    </row>
    <row r="235" spans="1:1" ht="21.75" customHeight="1">
      <c r="A235" s="160"/>
    </row>
    <row r="236" spans="1:1" ht="21.75" customHeight="1">
      <c r="A236" s="160"/>
    </row>
    <row r="237" spans="1:1" ht="21.75" customHeight="1">
      <c r="A237" s="160"/>
    </row>
    <row r="238" spans="1:1" ht="21.75" customHeight="1">
      <c r="A238" s="160"/>
    </row>
    <row r="239" spans="1:1" ht="21.75" customHeight="1">
      <c r="A239" s="160"/>
    </row>
    <row r="240" spans="1:1" ht="21.75" customHeight="1">
      <c r="A240" s="160"/>
    </row>
    <row r="241" spans="1:1" ht="21.75" customHeight="1">
      <c r="A241" s="160"/>
    </row>
    <row r="242" spans="1:1" ht="21.75" customHeight="1">
      <c r="A242" s="160"/>
    </row>
    <row r="243" spans="1:1" ht="21.75" customHeight="1">
      <c r="A243" s="160"/>
    </row>
    <row r="244" spans="1:1" ht="21.75" customHeight="1">
      <c r="A244" s="160"/>
    </row>
    <row r="245" spans="1:1" ht="21.75" customHeight="1">
      <c r="A245" s="160"/>
    </row>
    <row r="246" spans="1:1" ht="21.75" customHeight="1">
      <c r="A246" s="160"/>
    </row>
    <row r="247" spans="1:1" ht="21.75" customHeight="1">
      <c r="A247" s="160"/>
    </row>
    <row r="248" spans="1:1" ht="21.75" customHeight="1">
      <c r="A248" s="160"/>
    </row>
    <row r="249" spans="1:1" ht="21.75" customHeight="1">
      <c r="A249" s="160"/>
    </row>
    <row r="250" spans="1:1" ht="21.75" customHeight="1">
      <c r="A250" s="160"/>
    </row>
    <row r="251" spans="1:1" ht="21.75" customHeight="1">
      <c r="A251" s="160"/>
    </row>
    <row r="252" spans="1:1" ht="21.75" customHeight="1">
      <c r="A252" s="160"/>
    </row>
    <row r="253" spans="1:1" ht="21.75" customHeight="1">
      <c r="A253" s="160"/>
    </row>
    <row r="254" spans="1:1" ht="21.75" customHeight="1">
      <c r="A254" s="160"/>
    </row>
    <row r="255" spans="1:1" ht="21.75" customHeight="1">
      <c r="A255" s="160"/>
    </row>
    <row r="256" spans="1:1" ht="21.75" customHeight="1">
      <c r="A256" s="160"/>
    </row>
    <row r="257" spans="1:1" ht="21.75" customHeight="1">
      <c r="A257" s="160"/>
    </row>
    <row r="258" spans="1:1" ht="21.75" customHeight="1">
      <c r="A258" s="160"/>
    </row>
    <row r="259" spans="1:1" ht="21.75" customHeight="1">
      <c r="A259" s="160"/>
    </row>
    <row r="260" spans="1:1" ht="21.75" customHeight="1">
      <c r="A260" s="160"/>
    </row>
    <row r="261" spans="1:1" ht="21.75" customHeight="1">
      <c r="A261" s="160"/>
    </row>
    <row r="262" spans="1:1" ht="21.75" customHeight="1">
      <c r="A262" s="160"/>
    </row>
    <row r="263" spans="1:1" ht="21.75" customHeight="1">
      <c r="A263" s="160"/>
    </row>
    <row r="264" spans="1:1" ht="21.75" customHeight="1">
      <c r="A264" s="160"/>
    </row>
    <row r="265" spans="1:1" ht="21.75" customHeight="1">
      <c r="A265" s="160"/>
    </row>
    <row r="266" spans="1:1" ht="21.75" customHeight="1">
      <c r="A266" s="160"/>
    </row>
    <row r="267" spans="1:1" ht="21.75" customHeight="1">
      <c r="A267" s="160"/>
    </row>
    <row r="268" spans="1:1" ht="21.75" customHeight="1">
      <c r="A268" s="160"/>
    </row>
    <row r="269" spans="1:1" ht="21.75" customHeight="1">
      <c r="A269" s="160"/>
    </row>
    <row r="270" spans="1:1" ht="21.75" customHeight="1">
      <c r="A270" s="160"/>
    </row>
    <row r="271" spans="1:1" ht="21.75" customHeight="1">
      <c r="A271" s="160"/>
    </row>
    <row r="272" spans="1:1" ht="21.75" customHeight="1">
      <c r="A272" s="160"/>
    </row>
    <row r="273" spans="1:1" ht="21.75" customHeight="1">
      <c r="A273" s="160"/>
    </row>
    <row r="274" spans="1:1" ht="21.75" customHeight="1">
      <c r="A274" s="160"/>
    </row>
    <row r="275" spans="1:1" ht="21.75" customHeight="1">
      <c r="A275" s="160"/>
    </row>
    <row r="276" spans="1:1" ht="21.75" customHeight="1">
      <c r="A276" s="160"/>
    </row>
    <row r="277" spans="1:1" ht="21.75" customHeight="1">
      <c r="A277" s="160"/>
    </row>
    <row r="278" spans="1:1" ht="21.75" customHeight="1">
      <c r="A278" s="160"/>
    </row>
    <row r="279" spans="1:1" ht="21.75" customHeight="1">
      <c r="A279" s="160"/>
    </row>
    <row r="280" spans="1:1" ht="21.75" customHeight="1">
      <c r="A280" s="160"/>
    </row>
    <row r="281" spans="1:1" ht="21.75" customHeight="1">
      <c r="A281" s="160"/>
    </row>
    <row r="282" spans="1:1" ht="21.75" customHeight="1">
      <c r="A282" s="160"/>
    </row>
    <row r="283" spans="1:1" ht="21.75" customHeight="1">
      <c r="A283" s="160"/>
    </row>
    <row r="284" spans="1:1" ht="21.75" customHeight="1">
      <c r="A284" s="160"/>
    </row>
    <row r="285" spans="1:1" ht="21.75" customHeight="1">
      <c r="A285" s="160"/>
    </row>
    <row r="286" spans="1:1" ht="21.75" customHeight="1">
      <c r="A286" s="160"/>
    </row>
    <row r="287" spans="1:1" ht="21.75" customHeight="1">
      <c r="A287" s="160"/>
    </row>
    <row r="288" spans="1:1" ht="21.75" customHeight="1">
      <c r="A288" s="160"/>
    </row>
    <row r="289" spans="1:1" ht="21.75" customHeight="1">
      <c r="A289" s="160"/>
    </row>
    <row r="290" spans="1:1" ht="21.75" customHeight="1">
      <c r="A290" s="160"/>
    </row>
    <row r="291" spans="1:1" ht="21.75" customHeight="1">
      <c r="A291" s="160"/>
    </row>
    <row r="292" spans="1:1" ht="21.75" customHeight="1">
      <c r="A292" s="160"/>
    </row>
    <row r="293" spans="1:1" ht="21.75" customHeight="1">
      <c r="A293" s="160"/>
    </row>
    <row r="294" spans="1:1" ht="21.75" customHeight="1">
      <c r="A294" s="160"/>
    </row>
    <row r="295" spans="1:1" ht="21.75" customHeight="1">
      <c r="A295" s="160"/>
    </row>
    <row r="296" spans="1:1" ht="21.75" customHeight="1">
      <c r="A296" s="160"/>
    </row>
    <row r="297" spans="1:1" ht="21.75" customHeight="1">
      <c r="A297" s="160"/>
    </row>
    <row r="298" spans="1:1" ht="21.75" customHeight="1">
      <c r="A298" s="160"/>
    </row>
    <row r="299" spans="1:1" ht="21.75" customHeight="1">
      <c r="A299" s="160"/>
    </row>
    <row r="300" spans="1:1" ht="21.75" customHeight="1">
      <c r="A300" s="160"/>
    </row>
    <row r="301" spans="1:1" ht="21.75" customHeight="1">
      <c r="A301" s="160"/>
    </row>
    <row r="302" spans="1:1" ht="21.75" customHeight="1">
      <c r="A302" s="160"/>
    </row>
    <row r="303" spans="1:1" ht="21.75" customHeight="1">
      <c r="A303" s="160"/>
    </row>
    <row r="304" spans="1:1" ht="21.75" customHeight="1">
      <c r="A304" s="160"/>
    </row>
    <row r="305" spans="1:1" ht="21.75" customHeight="1">
      <c r="A305" s="160"/>
    </row>
    <row r="306" spans="1:1" ht="21.75" customHeight="1">
      <c r="A306" s="160"/>
    </row>
    <row r="307" spans="1:1" ht="21.75" customHeight="1">
      <c r="A307" s="160"/>
    </row>
    <row r="308" spans="1:1" ht="21.75" customHeight="1">
      <c r="A308" s="160"/>
    </row>
    <row r="309" spans="1:1" ht="21.75" customHeight="1">
      <c r="A309" s="160"/>
    </row>
    <row r="310" spans="1:1" ht="21.75" customHeight="1">
      <c r="A310" s="160"/>
    </row>
    <row r="311" spans="1:1" ht="21.75" customHeight="1">
      <c r="A311" s="160"/>
    </row>
    <row r="312" spans="1:1" ht="21.75" customHeight="1">
      <c r="A312" s="160"/>
    </row>
    <row r="313" spans="1:1" ht="21.75" customHeight="1">
      <c r="A313" s="160"/>
    </row>
    <row r="314" spans="1:1" ht="21.75" customHeight="1">
      <c r="A314" s="160"/>
    </row>
    <row r="315" spans="1:1" ht="21.75" customHeight="1">
      <c r="A315" s="160"/>
    </row>
    <row r="316" spans="1:1" ht="21.75" customHeight="1">
      <c r="A316" s="160"/>
    </row>
    <row r="317" spans="1:1" ht="21.75" customHeight="1">
      <c r="A317" s="160"/>
    </row>
    <row r="318" spans="1:1" ht="21.75" customHeight="1">
      <c r="A318" s="160"/>
    </row>
    <row r="319" spans="1:1" ht="21.75" customHeight="1">
      <c r="A319" s="160"/>
    </row>
    <row r="320" spans="1:1" ht="21.75" customHeight="1">
      <c r="A320" s="160"/>
    </row>
    <row r="321" spans="1:1" ht="21.75" customHeight="1">
      <c r="A321" s="160"/>
    </row>
    <row r="322" spans="1:1" ht="21.75" customHeight="1">
      <c r="A322" s="160"/>
    </row>
    <row r="323" spans="1:1" ht="21.75" customHeight="1">
      <c r="A323" s="160"/>
    </row>
    <row r="324" spans="1:1" ht="21.75" customHeight="1">
      <c r="A324" s="160"/>
    </row>
    <row r="325" spans="1:1" ht="21.75" customHeight="1">
      <c r="A325" s="160"/>
    </row>
    <row r="326" spans="1:1" ht="21.75" customHeight="1">
      <c r="A326" s="160"/>
    </row>
    <row r="327" spans="1:1" ht="21.75" customHeight="1">
      <c r="A327" s="160"/>
    </row>
    <row r="328" spans="1:1" ht="21.75" customHeight="1">
      <c r="A328" s="160"/>
    </row>
    <row r="329" spans="1:1" ht="21.75" customHeight="1">
      <c r="A329" s="160"/>
    </row>
    <row r="330" spans="1:1" ht="21.75" customHeight="1">
      <c r="A330" s="160"/>
    </row>
    <row r="331" spans="1:1" ht="21.75" customHeight="1">
      <c r="A331" s="160"/>
    </row>
    <row r="332" spans="1:1" ht="21.75" customHeight="1">
      <c r="A332" s="160"/>
    </row>
    <row r="333" spans="1:1" ht="21.75" customHeight="1">
      <c r="A333" s="160"/>
    </row>
    <row r="334" spans="1:1" ht="21.75" customHeight="1">
      <c r="A334" s="160"/>
    </row>
    <row r="335" spans="1:1" ht="21.75" customHeight="1">
      <c r="A335" s="160"/>
    </row>
    <row r="336" spans="1:1" ht="21.75" customHeight="1">
      <c r="A336" s="160"/>
    </row>
    <row r="337" spans="1:1" ht="21.75" customHeight="1">
      <c r="A337" s="160"/>
    </row>
    <row r="338" spans="1:1" ht="21.75" customHeight="1">
      <c r="A338" s="160"/>
    </row>
    <row r="339" spans="1:1" ht="21.75" customHeight="1">
      <c r="A339" s="160"/>
    </row>
    <row r="340" spans="1:1" ht="21.75" customHeight="1">
      <c r="A340" s="160"/>
    </row>
    <row r="341" spans="1:1" ht="21.75" customHeight="1">
      <c r="A341" s="160"/>
    </row>
    <row r="342" spans="1:1" ht="21.75" customHeight="1">
      <c r="A342" s="160"/>
    </row>
    <row r="343" spans="1:1" ht="21.75" customHeight="1">
      <c r="A343" s="160"/>
    </row>
    <row r="344" spans="1:1" ht="21.75" customHeight="1">
      <c r="A344" s="160"/>
    </row>
    <row r="345" spans="1:1" ht="21.75" customHeight="1">
      <c r="A345" s="160"/>
    </row>
    <row r="346" spans="1:1" ht="21.75" customHeight="1">
      <c r="A346" s="160"/>
    </row>
    <row r="347" spans="1:1" ht="21.75" customHeight="1">
      <c r="A347" s="160"/>
    </row>
    <row r="348" spans="1:1" ht="21.75" customHeight="1">
      <c r="A348" s="160"/>
    </row>
    <row r="349" spans="1:1" ht="21.75" customHeight="1">
      <c r="A349" s="160"/>
    </row>
    <row r="350" spans="1:1" ht="21.75" customHeight="1">
      <c r="A350" s="160"/>
    </row>
    <row r="351" spans="1:1" ht="21.75" customHeight="1">
      <c r="A351" s="160"/>
    </row>
    <row r="352" spans="1:1" ht="21.75" customHeight="1">
      <c r="A352" s="160"/>
    </row>
    <row r="353" spans="1:1" ht="21.75" customHeight="1">
      <c r="A353" s="160"/>
    </row>
    <row r="354" spans="1:1" ht="21.75" customHeight="1">
      <c r="A354" s="160"/>
    </row>
    <row r="355" spans="1:1" ht="21.75" customHeight="1">
      <c r="A355" s="160"/>
    </row>
    <row r="356" spans="1:1" ht="21.75" customHeight="1">
      <c r="A356" s="160"/>
    </row>
    <row r="357" spans="1:1" ht="21.75" customHeight="1">
      <c r="A357" s="160"/>
    </row>
    <row r="358" spans="1:1" ht="21.75" customHeight="1">
      <c r="A358" s="160"/>
    </row>
    <row r="359" spans="1:1" ht="21.75" customHeight="1">
      <c r="A359" s="160"/>
    </row>
    <row r="360" spans="1:1" ht="21.75" customHeight="1">
      <c r="A360" s="160"/>
    </row>
    <row r="361" spans="1:1" ht="21.75" customHeight="1">
      <c r="A361" s="160"/>
    </row>
    <row r="362" spans="1:1" ht="21.75" customHeight="1">
      <c r="A362" s="160"/>
    </row>
    <row r="363" spans="1:1" ht="21.75" customHeight="1">
      <c r="A363" s="160"/>
    </row>
    <row r="364" spans="1:1" ht="21.75" customHeight="1">
      <c r="A364" s="160"/>
    </row>
    <row r="365" spans="1:1" ht="21.75" customHeight="1">
      <c r="A365" s="160"/>
    </row>
    <row r="366" spans="1:1" ht="21.75" customHeight="1">
      <c r="A366" s="160"/>
    </row>
    <row r="367" spans="1:1" ht="21.75" customHeight="1">
      <c r="A367" s="160"/>
    </row>
    <row r="368" spans="1:1" ht="21.75" customHeight="1">
      <c r="A368" s="160"/>
    </row>
    <row r="369" spans="1:1" ht="21.75" customHeight="1">
      <c r="A369" s="160"/>
    </row>
    <row r="370" spans="1:1" ht="21.75" customHeight="1">
      <c r="A370" s="160"/>
    </row>
    <row r="371" spans="1:1" ht="21.75" customHeight="1">
      <c r="A371" s="160"/>
    </row>
    <row r="372" spans="1:1" ht="21.75" customHeight="1">
      <c r="A372" s="160"/>
    </row>
    <row r="373" spans="1:1" ht="21.75" customHeight="1">
      <c r="A373" s="160"/>
    </row>
    <row r="374" spans="1:1" ht="21.75" customHeight="1">
      <c r="A374" s="160"/>
    </row>
    <row r="375" spans="1:1" ht="21.75" customHeight="1">
      <c r="A375" s="160"/>
    </row>
    <row r="376" spans="1:1" ht="21.75" customHeight="1">
      <c r="A376" s="160"/>
    </row>
    <row r="377" spans="1:1" ht="21.75" customHeight="1">
      <c r="A377" s="160"/>
    </row>
    <row r="378" spans="1:1" ht="21.75" customHeight="1">
      <c r="A378" s="160"/>
    </row>
    <row r="379" spans="1:1" ht="21.75" customHeight="1">
      <c r="A379" s="160"/>
    </row>
    <row r="380" spans="1:1" ht="21.75" customHeight="1">
      <c r="A380" s="160"/>
    </row>
    <row r="381" spans="1:1" ht="21.75" customHeight="1">
      <c r="A381" s="160"/>
    </row>
    <row r="382" spans="1:1" ht="21.75" customHeight="1">
      <c r="A382" s="160"/>
    </row>
    <row r="383" spans="1:1" ht="21.75" customHeight="1">
      <c r="A383" s="160"/>
    </row>
    <row r="384" spans="1:1" ht="21.75" customHeight="1">
      <c r="A384" s="160"/>
    </row>
    <row r="385" spans="1:1" ht="21.75" customHeight="1">
      <c r="A385" s="160"/>
    </row>
    <row r="386" spans="1:1" ht="21.75" customHeight="1">
      <c r="A386" s="160"/>
    </row>
    <row r="387" spans="1:1" ht="21.75" customHeight="1">
      <c r="A387" s="160"/>
    </row>
    <row r="388" spans="1:1" ht="21.75" customHeight="1">
      <c r="A388" s="160"/>
    </row>
    <row r="389" spans="1:1" ht="21.75" customHeight="1">
      <c r="A389" s="160"/>
    </row>
    <row r="390" spans="1:1" ht="21.75" customHeight="1">
      <c r="A390" s="160"/>
    </row>
    <row r="391" spans="1:1" ht="21.75" customHeight="1">
      <c r="A391" s="160"/>
    </row>
    <row r="392" spans="1:1" ht="21.75" customHeight="1">
      <c r="A392" s="160"/>
    </row>
    <row r="393" spans="1:1" ht="21.75" customHeight="1">
      <c r="A393" s="160"/>
    </row>
    <row r="394" spans="1:1" ht="21.75" customHeight="1">
      <c r="A394" s="160"/>
    </row>
    <row r="395" spans="1:1" ht="21.75" customHeight="1">
      <c r="A395" s="160"/>
    </row>
    <row r="396" spans="1:1" ht="21.75" customHeight="1">
      <c r="A396" s="160"/>
    </row>
    <row r="397" spans="1:1" ht="21.75" customHeight="1">
      <c r="A397" s="160"/>
    </row>
    <row r="398" spans="1:1" ht="21.75" customHeight="1">
      <c r="A398" s="160"/>
    </row>
    <row r="399" spans="1:1" ht="21.75" customHeight="1">
      <c r="A399" s="160"/>
    </row>
    <row r="400" spans="1:1" ht="21.75" customHeight="1">
      <c r="A400" s="160"/>
    </row>
    <row r="401" spans="1:1" ht="21.75" customHeight="1">
      <c r="A401" s="160"/>
    </row>
    <row r="402" spans="1:1" ht="21.75" customHeight="1">
      <c r="A402" s="160"/>
    </row>
    <row r="403" spans="1:1" ht="21.75" customHeight="1">
      <c r="A403" s="160"/>
    </row>
    <row r="404" spans="1:1" ht="21.75" customHeight="1">
      <c r="A404" s="160"/>
    </row>
    <row r="405" spans="1:1" ht="21.75" customHeight="1">
      <c r="A405" s="160"/>
    </row>
    <row r="406" spans="1:1" ht="21.75" customHeight="1">
      <c r="A406" s="160"/>
    </row>
    <row r="407" spans="1:1" ht="21.75" customHeight="1">
      <c r="A407" s="160"/>
    </row>
    <row r="408" spans="1:1" ht="21.75" customHeight="1">
      <c r="A408" s="160"/>
    </row>
    <row r="409" spans="1:1" ht="21.75" customHeight="1">
      <c r="A409" s="160"/>
    </row>
    <row r="410" spans="1:1" ht="21.75" customHeight="1">
      <c r="A410" s="160"/>
    </row>
    <row r="411" spans="1:1" ht="21.75" customHeight="1">
      <c r="A411" s="160"/>
    </row>
    <row r="412" spans="1:1" ht="21.75" customHeight="1">
      <c r="A412" s="160"/>
    </row>
    <row r="413" spans="1:1" ht="21.75" customHeight="1">
      <c r="A413" s="160"/>
    </row>
    <row r="414" spans="1:1" ht="21.75" customHeight="1">
      <c r="A414" s="160"/>
    </row>
    <row r="415" spans="1:1" ht="21.75" customHeight="1">
      <c r="A415" s="160"/>
    </row>
    <row r="416" spans="1:1" ht="21.75" customHeight="1">
      <c r="A416" s="160"/>
    </row>
    <row r="417" spans="1:1" ht="21.75" customHeight="1">
      <c r="A417" s="160"/>
    </row>
    <row r="418" spans="1:1" ht="21.75" customHeight="1">
      <c r="A418" s="160"/>
    </row>
    <row r="419" spans="1:1" ht="21.75" customHeight="1">
      <c r="A419" s="160"/>
    </row>
    <row r="420" spans="1:1" ht="21.75" customHeight="1">
      <c r="A420" s="160"/>
    </row>
    <row r="421" spans="1:1" ht="21.75" customHeight="1">
      <c r="A421" s="160"/>
    </row>
    <row r="422" spans="1:1" ht="21.75" customHeight="1">
      <c r="A422" s="160"/>
    </row>
    <row r="423" spans="1:1" ht="21.75" customHeight="1">
      <c r="A423" s="160"/>
    </row>
    <row r="424" spans="1:1" ht="21.75" customHeight="1">
      <c r="A424" s="160"/>
    </row>
    <row r="425" spans="1:1" ht="21.75" customHeight="1">
      <c r="A425" s="160"/>
    </row>
    <row r="426" spans="1:1" ht="21.75" customHeight="1">
      <c r="A426" s="160"/>
    </row>
    <row r="427" spans="1:1" ht="21.75" customHeight="1">
      <c r="A427" s="160"/>
    </row>
    <row r="428" spans="1:1" ht="21.75" customHeight="1">
      <c r="A428" s="160"/>
    </row>
    <row r="429" spans="1:1" ht="21.75" customHeight="1">
      <c r="A429" s="160"/>
    </row>
    <row r="430" spans="1:1" ht="21.75" customHeight="1">
      <c r="A430" s="160"/>
    </row>
    <row r="431" spans="1:1" ht="21.75" customHeight="1">
      <c r="A431" s="160"/>
    </row>
    <row r="432" spans="1:1" ht="21.75" customHeight="1">
      <c r="A432" s="160"/>
    </row>
    <row r="433" spans="1:1" ht="21.75" customHeight="1">
      <c r="A433" s="160"/>
    </row>
    <row r="434" spans="1:1" ht="21.75" customHeight="1">
      <c r="A434" s="160"/>
    </row>
    <row r="435" spans="1:1" ht="21.75" customHeight="1">
      <c r="A435" s="160"/>
    </row>
    <row r="436" spans="1:1" ht="21.75" customHeight="1">
      <c r="A436" s="160"/>
    </row>
    <row r="437" spans="1:1" ht="21.75" customHeight="1">
      <c r="A437" s="160"/>
    </row>
    <row r="438" spans="1:1" ht="21.75" customHeight="1">
      <c r="A438" s="160"/>
    </row>
    <row r="439" spans="1:1" ht="21.75" customHeight="1">
      <c r="A439" s="160"/>
    </row>
    <row r="440" spans="1:1" ht="21.75" customHeight="1">
      <c r="A440" s="160"/>
    </row>
    <row r="441" spans="1:1" ht="21.75" customHeight="1">
      <c r="A441" s="160"/>
    </row>
    <row r="442" spans="1:1" ht="21.75" customHeight="1">
      <c r="A442" s="160"/>
    </row>
    <row r="443" spans="1:1" ht="21.75" customHeight="1">
      <c r="A443" s="160"/>
    </row>
    <row r="444" spans="1:1" ht="21.75" customHeight="1">
      <c r="A444" s="160"/>
    </row>
    <row r="445" spans="1:1" ht="21.75" customHeight="1">
      <c r="A445" s="160"/>
    </row>
    <row r="446" spans="1:1" ht="21.75" customHeight="1">
      <c r="A446" s="160"/>
    </row>
    <row r="447" spans="1:1" ht="21.75" customHeight="1">
      <c r="A447" s="160"/>
    </row>
    <row r="448" spans="1:1" ht="21.75" customHeight="1">
      <c r="A448" s="160"/>
    </row>
    <row r="449" spans="1:1" ht="21.75" customHeight="1">
      <c r="A449" s="160"/>
    </row>
    <row r="450" spans="1:1" ht="21.75" customHeight="1">
      <c r="A450" s="160"/>
    </row>
    <row r="451" spans="1:1" ht="21.75" customHeight="1">
      <c r="A451" s="160"/>
    </row>
    <row r="452" spans="1:1" ht="21.75" customHeight="1">
      <c r="A452" s="160"/>
    </row>
    <row r="453" spans="1:1" ht="21.75" customHeight="1">
      <c r="A453" s="160"/>
    </row>
    <row r="454" spans="1:1" ht="21.75" customHeight="1">
      <c r="A454" s="160"/>
    </row>
    <row r="455" spans="1:1" ht="21.75" customHeight="1">
      <c r="A455" s="160"/>
    </row>
    <row r="456" spans="1:1" ht="21.75" customHeight="1">
      <c r="A456" s="160"/>
    </row>
    <row r="457" spans="1:1" ht="21.75" customHeight="1">
      <c r="A457" s="160"/>
    </row>
    <row r="458" spans="1:1" ht="21.75" customHeight="1">
      <c r="A458" s="160"/>
    </row>
    <row r="459" spans="1:1" ht="21.75" customHeight="1">
      <c r="A459" s="160"/>
    </row>
    <row r="460" spans="1:1" ht="21.75" customHeight="1">
      <c r="A460" s="160"/>
    </row>
    <row r="461" spans="1:1" ht="21.75" customHeight="1">
      <c r="A461" s="160"/>
    </row>
    <row r="462" spans="1:1" ht="21.75" customHeight="1">
      <c r="A462" s="160"/>
    </row>
    <row r="463" spans="1:1" ht="21.75" customHeight="1">
      <c r="A463" s="160"/>
    </row>
    <row r="464" spans="1:1" ht="21.75" customHeight="1">
      <c r="A464" s="160"/>
    </row>
    <row r="465" spans="1:1" ht="21.75" customHeight="1">
      <c r="A465" s="160"/>
    </row>
    <row r="466" spans="1:1" ht="21.75" customHeight="1">
      <c r="A466" s="160"/>
    </row>
    <row r="467" spans="1:1" ht="21.75" customHeight="1">
      <c r="A467" s="160"/>
    </row>
    <row r="468" spans="1:1" ht="21.75" customHeight="1">
      <c r="A468" s="160"/>
    </row>
    <row r="469" spans="1:1" ht="21.75" customHeight="1">
      <c r="A469" s="160"/>
    </row>
    <row r="470" spans="1:1" ht="21.75" customHeight="1">
      <c r="A470" s="160"/>
    </row>
    <row r="471" spans="1:1" ht="21.75" customHeight="1">
      <c r="A471" s="160"/>
    </row>
    <row r="472" spans="1:1" ht="21.75" customHeight="1">
      <c r="A472" s="160"/>
    </row>
    <row r="473" spans="1:1" ht="21.75" customHeight="1">
      <c r="A473" s="160"/>
    </row>
    <row r="474" spans="1:1" ht="21.75" customHeight="1">
      <c r="A474" s="160"/>
    </row>
    <row r="475" spans="1:1" ht="21.75" customHeight="1">
      <c r="A475" s="160"/>
    </row>
    <row r="476" spans="1:1" ht="21.75" customHeight="1">
      <c r="A476" s="160"/>
    </row>
    <row r="477" spans="1:1" ht="21.75" customHeight="1">
      <c r="A477" s="160"/>
    </row>
    <row r="478" spans="1:1" ht="21.75" customHeight="1">
      <c r="A478" s="160"/>
    </row>
    <row r="479" spans="1:1" ht="21.75" customHeight="1">
      <c r="A479" s="160"/>
    </row>
    <row r="480" spans="1:1" ht="21.75" customHeight="1">
      <c r="A480" s="160"/>
    </row>
    <row r="481" spans="1:1" ht="21.75" customHeight="1">
      <c r="A481" s="160"/>
    </row>
    <row r="482" spans="1:1" ht="21.75" customHeight="1">
      <c r="A482" s="160"/>
    </row>
    <row r="483" spans="1:1" ht="21.75" customHeight="1">
      <c r="A483" s="160"/>
    </row>
    <row r="484" spans="1:1" ht="21.75" customHeight="1">
      <c r="A484" s="160"/>
    </row>
    <row r="485" spans="1:1" ht="21.75" customHeight="1">
      <c r="A485" s="160"/>
    </row>
    <row r="486" spans="1:1" ht="21.75" customHeight="1">
      <c r="A486" s="160"/>
    </row>
    <row r="487" spans="1:1" ht="21.75" customHeight="1">
      <c r="A487" s="160"/>
    </row>
    <row r="488" spans="1:1" ht="21.75" customHeight="1">
      <c r="A488" s="160"/>
    </row>
    <row r="489" spans="1:1" ht="21.75" customHeight="1">
      <c r="A489" s="160"/>
    </row>
    <row r="490" spans="1:1" ht="21.75" customHeight="1">
      <c r="A490" s="160"/>
    </row>
    <row r="491" spans="1:1" ht="21.75" customHeight="1">
      <c r="A491" s="160"/>
    </row>
    <row r="492" spans="1:1" ht="21.75" customHeight="1">
      <c r="A492" s="160"/>
    </row>
    <row r="493" spans="1:1" ht="21.75" customHeight="1">
      <c r="A493" s="160"/>
    </row>
    <row r="494" spans="1:1" ht="21.75" customHeight="1">
      <c r="A494" s="160"/>
    </row>
    <row r="495" spans="1:1" ht="21.75" customHeight="1">
      <c r="A495" s="160"/>
    </row>
    <row r="496" spans="1:1" ht="21.75" customHeight="1">
      <c r="A496" s="160"/>
    </row>
    <row r="497" spans="1:1" ht="21.75" customHeight="1">
      <c r="A497" s="160"/>
    </row>
    <row r="498" spans="1:1" ht="21.75" customHeight="1">
      <c r="A498" s="160"/>
    </row>
    <row r="499" spans="1:1" ht="21.75" customHeight="1">
      <c r="A499" s="160"/>
    </row>
    <row r="500" spans="1:1" ht="21.75" customHeight="1">
      <c r="A500" s="160"/>
    </row>
    <row r="501" spans="1:1" ht="21.75" customHeight="1">
      <c r="A501" s="160"/>
    </row>
    <row r="502" spans="1:1" ht="21.75" customHeight="1">
      <c r="A502" s="160"/>
    </row>
    <row r="503" spans="1:1" ht="21.75" customHeight="1">
      <c r="A503" s="160"/>
    </row>
    <row r="504" spans="1:1" ht="21.75" customHeight="1">
      <c r="A504" s="160"/>
    </row>
    <row r="505" spans="1:1" ht="21.75" customHeight="1">
      <c r="A505" s="160"/>
    </row>
    <row r="506" spans="1:1" ht="21.75" customHeight="1">
      <c r="A506" s="160"/>
    </row>
    <row r="507" spans="1:1" ht="21.75" customHeight="1">
      <c r="A507" s="160"/>
    </row>
    <row r="508" spans="1:1" ht="21.75" customHeight="1">
      <c r="A508" s="160"/>
    </row>
    <row r="509" spans="1:1" ht="21.75" customHeight="1">
      <c r="A509" s="160"/>
    </row>
    <row r="510" spans="1:1" ht="21.75" customHeight="1">
      <c r="A510" s="160"/>
    </row>
    <row r="511" spans="1:1" ht="21.75" customHeight="1">
      <c r="A511" s="160"/>
    </row>
    <row r="512" spans="1:1" ht="21.75" customHeight="1">
      <c r="A512" s="160"/>
    </row>
    <row r="513" spans="1:1" ht="21.75" customHeight="1">
      <c r="A513" s="160"/>
    </row>
    <row r="514" spans="1:1" ht="21.75" customHeight="1">
      <c r="A514" s="160"/>
    </row>
    <row r="515" spans="1:1" ht="21.75" customHeight="1">
      <c r="A515" s="160"/>
    </row>
    <row r="516" spans="1:1" ht="21.75" customHeight="1">
      <c r="A516" s="160"/>
    </row>
    <row r="517" spans="1:1" ht="21.75" customHeight="1">
      <c r="A517" s="160"/>
    </row>
    <row r="518" spans="1:1" ht="21.75" customHeight="1">
      <c r="A518" s="160"/>
    </row>
    <row r="519" spans="1:1" ht="21.75" customHeight="1">
      <c r="A519" s="160"/>
    </row>
    <row r="520" spans="1:1" ht="21.75" customHeight="1">
      <c r="A520" s="160"/>
    </row>
    <row r="521" spans="1:1" ht="21.75" customHeight="1">
      <c r="A521" s="160"/>
    </row>
    <row r="522" spans="1:1" ht="21.75" customHeight="1">
      <c r="A522" s="160"/>
    </row>
    <row r="523" spans="1:1" ht="21.75" customHeight="1">
      <c r="A523" s="160"/>
    </row>
    <row r="524" spans="1:1" ht="21.75" customHeight="1">
      <c r="A524" s="160"/>
    </row>
    <row r="525" spans="1:1" ht="21.75" customHeight="1">
      <c r="A525" s="160"/>
    </row>
    <row r="526" spans="1:1" ht="21.75" customHeight="1">
      <c r="A526" s="160"/>
    </row>
    <row r="527" spans="1:1" ht="21.75" customHeight="1">
      <c r="A527" s="160"/>
    </row>
    <row r="528" spans="1:1" ht="21.75" customHeight="1">
      <c r="A528" s="160"/>
    </row>
    <row r="529" spans="1:1" ht="21.75" customHeight="1">
      <c r="A529" s="160"/>
    </row>
    <row r="530" spans="1:1" ht="21.75" customHeight="1">
      <c r="A530" s="160"/>
    </row>
    <row r="531" spans="1:1" ht="21.75" customHeight="1">
      <c r="A531" s="160"/>
    </row>
    <row r="532" spans="1:1" ht="21.75" customHeight="1">
      <c r="A532" s="160"/>
    </row>
    <row r="533" spans="1:1" ht="21.75" customHeight="1">
      <c r="A533" s="160"/>
    </row>
    <row r="534" spans="1:1" ht="21.75" customHeight="1">
      <c r="A534" s="160"/>
    </row>
    <row r="535" spans="1:1" ht="21.75" customHeight="1">
      <c r="A535" s="160"/>
    </row>
    <row r="536" spans="1:1" ht="21.75" customHeight="1">
      <c r="A536" s="160"/>
    </row>
    <row r="537" spans="1:1" ht="21.75" customHeight="1">
      <c r="A537" s="160"/>
    </row>
    <row r="538" spans="1:1" ht="21.75" customHeight="1">
      <c r="A538" s="160"/>
    </row>
    <row r="539" spans="1:1" ht="21.75" customHeight="1">
      <c r="A539" s="160"/>
    </row>
  </sheetData>
  <mergeCells count="11">
    <mergeCell ref="A36:C36"/>
    <mergeCell ref="A31:C31"/>
    <mergeCell ref="E4:F4"/>
    <mergeCell ref="C20:C21"/>
    <mergeCell ref="A28:C28"/>
    <mergeCell ref="A29:C29"/>
    <mergeCell ref="A30:C30"/>
    <mergeCell ref="A32:C32"/>
    <mergeCell ref="A33:C33"/>
    <mergeCell ref="A34:C34"/>
    <mergeCell ref="A35:C35"/>
  </mergeCells>
  <phoneticPr fontId="2" type="noConversion"/>
  <printOptions horizontalCentered="1" verticalCentered="1"/>
  <pageMargins left="0.39370078740157483" right="0.39370078740157483" top="0.55118110236220474" bottom="0.55118110236220474" header="0.31496062992125984" footer="0.31496062992125984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M25"/>
  <sheetViews>
    <sheetView view="pageBreakPreview" zoomScale="85" zoomScaleNormal="100" zoomScaleSheetLayoutView="85" workbookViewId="0">
      <selection activeCell="D2" sqref="D2:M2"/>
    </sheetView>
  </sheetViews>
  <sheetFormatPr defaultColWidth="9" defaultRowHeight="13.5"/>
  <cols>
    <col min="1" max="1" width="38.625" style="178" customWidth="1"/>
    <col min="2" max="2" width="18.625" style="178" hidden="1" customWidth="1"/>
    <col min="3" max="4" width="5.625" style="178" customWidth="1"/>
    <col min="5" max="5" width="14.5" style="179" customWidth="1"/>
    <col min="6" max="12" width="12.625" style="179" customWidth="1"/>
    <col min="13" max="16384" width="9" style="178"/>
  </cols>
  <sheetData>
    <row r="1" spans="1:13" ht="24" customHeight="1">
      <c r="F1" s="180" t="s">
        <v>128</v>
      </c>
    </row>
    <row r="2" spans="1:13" ht="16.5" customHeight="1">
      <c r="A2" s="181" t="s">
        <v>612</v>
      </c>
      <c r="B2" s="181"/>
    </row>
    <row r="3" spans="1:13" ht="27.95" customHeight="1">
      <c r="A3" s="369" t="s">
        <v>109</v>
      </c>
      <c r="B3" s="369" t="s">
        <v>111</v>
      </c>
      <c r="C3" s="371" t="s">
        <v>113</v>
      </c>
      <c r="D3" s="371" t="s">
        <v>115</v>
      </c>
      <c r="E3" s="367" t="s">
        <v>116</v>
      </c>
      <c r="F3" s="368"/>
      <c r="G3" s="367" t="s">
        <v>120</v>
      </c>
      <c r="H3" s="368"/>
      <c r="I3" s="367" t="s">
        <v>123</v>
      </c>
      <c r="J3" s="368"/>
      <c r="K3" s="367" t="s">
        <v>125</v>
      </c>
      <c r="L3" s="368"/>
      <c r="M3" s="369" t="s">
        <v>127</v>
      </c>
    </row>
    <row r="4" spans="1:13" ht="27.95" customHeight="1">
      <c r="A4" s="370"/>
      <c r="B4" s="370"/>
      <c r="C4" s="372"/>
      <c r="D4" s="372"/>
      <c r="E4" s="185" t="s">
        <v>117</v>
      </c>
      <c r="F4" s="185" t="s">
        <v>118</v>
      </c>
      <c r="G4" s="185" t="s">
        <v>121</v>
      </c>
      <c r="H4" s="185" t="s">
        <v>122</v>
      </c>
      <c r="I4" s="185" t="s">
        <v>124</v>
      </c>
      <c r="J4" s="185" t="s">
        <v>122</v>
      </c>
      <c r="K4" s="185" t="s">
        <v>124</v>
      </c>
      <c r="L4" s="185" t="s">
        <v>122</v>
      </c>
      <c r="M4" s="370"/>
    </row>
    <row r="5" spans="1:13" ht="24.95" customHeight="1">
      <c r="A5" s="182" t="s">
        <v>611</v>
      </c>
      <c r="B5" s="183"/>
      <c r="C5" s="183"/>
      <c r="D5" s="183">
        <v>1</v>
      </c>
      <c r="E5" s="184">
        <f>E6</f>
        <v>10672774.528364757</v>
      </c>
      <c r="F5" s="184">
        <f>E5*D5</f>
        <v>10672774.528364757</v>
      </c>
      <c r="G5" s="184">
        <f>G6</f>
        <v>20720641.715412352</v>
      </c>
      <c r="H5" s="184">
        <f>G5*D5</f>
        <v>20720641.715412352</v>
      </c>
      <c r="I5" s="184">
        <f>I6</f>
        <v>0</v>
      </c>
      <c r="J5" s="184">
        <f>I5*D5</f>
        <v>0</v>
      </c>
      <c r="K5" s="184">
        <f>E5+G5+I5</f>
        <v>31393416.243777111</v>
      </c>
      <c r="L5" s="184">
        <f>K5*D5</f>
        <v>31393416.243777111</v>
      </c>
      <c r="M5" s="183"/>
    </row>
    <row r="6" spans="1:13" ht="24.95" customHeight="1">
      <c r="A6" s="182" t="s">
        <v>126</v>
      </c>
      <c r="B6" s="183"/>
      <c r="C6" s="183"/>
      <c r="D6" s="183">
        <v>1</v>
      </c>
      <c r="E6" s="184">
        <f>F7+F8+F9+F10+F11+F12+F13+F14</f>
        <v>10672774.528364757</v>
      </c>
      <c r="F6" s="184">
        <f>E6*D6</f>
        <v>10672774.528364757</v>
      </c>
      <c r="G6" s="184">
        <f>H7+H8+H9+H10+H11+H12+H13+H14</f>
        <v>20720641.715412352</v>
      </c>
      <c r="H6" s="184">
        <f>G6*D6</f>
        <v>20720641.715412352</v>
      </c>
      <c r="I6" s="184">
        <f>J7+J8+J9+J10+J11+J12+J13+J14</f>
        <v>0</v>
      </c>
      <c r="J6" s="184">
        <f>I6*D6</f>
        <v>0</v>
      </c>
      <c r="K6" s="184">
        <f>E6+G6+I6</f>
        <v>31393416.243777111</v>
      </c>
      <c r="L6" s="184">
        <f>K6*D6</f>
        <v>31393416.243777111</v>
      </c>
      <c r="M6" s="183"/>
    </row>
    <row r="7" spans="1:13" ht="24.95" customHeight="1">
      <c r="A7" s="182" t="s">
        <v>171</v>
      </c>
      <c r="B7" s="183"/>
      <c r="C7" s="183"/>
      <c r="D7" s="183">
        <v>1</v>
      </c>
      <c r="E7" s="184">
        <f>내역서!G5</f>
        <v>404404.098</v>
      </c>
      <c r="F7" s="184">
        <f>E7*D7</f>
        <v>404404.098</v>
      </c>
      <c r="G7" s="184">
        <f>내역서!I20</f>
        <v>2887959.7710000002</v>
      </c>
      <c r="H7" s="184">
        <f>G7*D7</f>
        <v>2887959.7710000002</v>
      </c>
      <c r="I7" s="184">
        <f>내역서!K20</f>
        <v>0</v>
      </c>
      <c r="J7" s="184">
        <f>I7*D7</f>
        <v>0</v>
      </c>
      <c r="K7" s="184">
        <f>E7+G7+I7</f>
        <v>3292363.8689999999</v>
      </c>
      <c r="L7" s="184">
        <f>K7*D7</f>
        <v>3292363.8689999999</v>
      </c>
      <c r="M7" s="183"/>
    </row>
    <row r="8" spans="1:13" ht="24.95" customHeight="1">
      <c r="A8" s="182" t="s">
        <v>418</v>
      </c>
      <c r="B8" s="183"/>
      <c r="C8" s="183"/>
      <c r="D8" s="183">
        <v>1</v>
      </c>
      <c r="E8" s="184">
        <f>내역서!G28</f>
        <v>35348.166999999994</v>
      </c>
      <c r="F8" s="184">
        <f>E8*D8</f>
        <v>35348.166999999994</v>
      </c>
      <c r="G8" s="184">
        <f>내역서!I28</f>
        <v>910061.29199999978</v>
      </c>
      <c r="H8" s="184">
        <f>G8*D8</f>
        <v>910061.29199999978</v>
      </c>
      <c r="I8" s="184">
        <f>내역서!K28</f>
        <v>0</v>
      </c>
      <c r="J8" s="184">
        <f>I8*D8</f>
        <v>0</v>
      </c>
      <c r="K8" s="184">
        <f>E8+G8+I8</f>
        <v>945409.4589999998</v>
      </c>
      <c r="L8" s="184">
        <f>K8*D8</f>
        <v>945409.4589999998</v>
      </c>
      <c r="M8" s="183"/>
    </row>
    <row r="9" spans="1:13" ht="24.95" customHeight="1">
      <c r="A9" s="182" t="s">
        <v>497</v>
      </c>
      <c r="B9" s="183"/>
      <c r="C9" s="183"/>
      <c r="D9" s="183">
        <v>1</v>
      </c>
      <c r="E9" s="184">
        <f>내역서!G33</f>
        <v>915139.38249999983</v>
      </c>
      <c r="F9" s="184">
        <f t="shared" ref="F9:F14" si="0">E9*D9</f>
        <v>915139.38249999983</v>
      </c>
      <c r="G9" s="184">
        <f>내역서!I33</f>
        <v>1326897.345</v>
      </c>
      <c r="H9" s="184">
        <f t="shared" ref="H9:H13" si="1">G9*D9</f>
        <v>1326897.345</v>
      </c>
      <c r="I9" s="184">
        <f>내역서!K33</f>
        <v>0</v>
      </c>
      <c r="J9" s="184">
        <f t="shared" ref="J9:J12" si="2">I9*D9</f>
        <v>0</v>
      </c>
      <c r="K9" s="184">
        <f t="shared" ref="K9:K12" si="3">E9+G9+I9</f>
        <v>2242036.7275</v>
      </c>
      <c r="L9" s="184">
        <f t="shared" ref="L9:L12" si="4">K9*D9</f>
        <v>2242036.7275</v>
      </c>
      <c r="M9" s="183"/>
    </row>
    <row r="10" spans="1:13" ht="24.95" customHeight="1">
      <c r="A10" s="182" t="s">
        <v>498</v>
      </c>
      <c r="B10" s="183"/>
      <c r="C10" s="183"/>
      <c r="D10" s="183">
        <v>1</v>
      </c>
      <c r="E10" s="184">
        <f>내역서!G43</f>
        <v>4684796.2706000004</v>
      </c>
      <c r="F10" s="184">
        <f t="shared" si="0"/>
        <v>4684796.2706000004</v>
      </c>
      <c r="G10" s="184">
        <f>내역서!I43</f>
        <v>6431565.6295999996</v>
      </c>
      <c r="H10" s="184">
        <f t="shared" si="1"/>
        <v>6431565.6295999996</v>
      </c>
      <c r="I10" s="184">
        <f>내역서!K43</f>
        <v>0</v>
      </c>
      <c r="J10" s="184">
        <f t="shared" ref="J10" si="5">I10*D10</f>
        <v>0</v>
      </c>
      <c r="K10" s="184">
        <f t="shared" ref="K10" si="6">E10+G10+I10</f>
        <v>11116361.9002</v>
      </c>
      <c r="L10" s="184">
        <f t="shared" ref="L10" si="7">K10*D10</f>
        <v>11116361.9002</v>
      </c>
      <c r="M10" s="183"/>
    </row>
    <row r="11" spans="1:13" ht="24.95" customHeight="1">
      <c r="A11" s="182" t="s">
        <v>431</v>
      </c>
      <c r="B11" s="183"/>
      <c r="C11" s="183"/>
      <c r="D11" s="183">
        <v>1</v>
      </c>
      <c r="E11" s="184">
        <f>내역서!G50</f>
        <v>1865593.8461093837</v>
      </c>
      <c r="F11" s="184">
        <f t="shared" si="0"/>
        <v>1865593.8461093837</v>
      </c>
      <c r="G11" s="184">
        <f>내역서!I50</f>
        <v>2657653.2075953516</v>
      </c>
      <c r="H11" s="184">
        <f t="shared" si="1"/>
        <v>2657653.2075953516</v>
      </c>
      <c r="I11" s="184">
        <f>내역서!K50</f>
        <v>0</v>
      </c>
      <c r="J11" s="184">
        <f t="shared" si="2"/>
        <v>0</v>
      </c>
      <c r="K11" s="184">
        <f t="shared" si="3"/>
        <v>4523247.0537047349</v>
      </c>
      <c r="L11" s="184">
        <f t="shared" si="4"/>
        <v>4523247.0537047349</v>
      </c>
      <c r="M11" s="183"/>
    </row>
    <row r="12" spans="1:13" ht="24.95" customHeight="1">
      <c r="A12" s="182" t="s">
        <v>499</v>
      </c>
      <c r="B12" s="183"/>
      <c r="C12" s="183"/>
      <c r="D12" s="183">
        <v>1</v>
      </c>
      <c r="E12" s="184">
        <f>내역서!G58</f>
        <v>1772173.6156000001</v>
      </c>
      <c r="F12" s="184">
        <f t="shared" si="0"/>
        <v>1772173.6156000001</v>
      </c>
      <c r="G12" s="184">
        <f>내역서!I58</f>
        <v>1002193.897212</v>
      </c>
      <c r="H12" s="184">
        <f t="shared" si="1"/>
        <v>1002193.897212</v>
      </c>
      <c r="I12" s="184">
        <f>내역서!K58</f>
        <v>0</v>
      </c>
      <c r="J12" s="184">
        <f t="shared" si="2"/>
        <v>0</v>
      </c>
      <c r="K12" s="184">
        <f t="shared" si="3"/>
        <v>2774367.5128120002</v>
      </c>
      <c r="L12" s="184">
        <f t="shared" si="4"/>
        <v>2774367.5128120002</v>
      </c>
      <c r="M12" s="183"/>
    </row>
    <row r="13" spans="1:13" ht="24.95" customHeight="1">
      <c r="A13" s="182" t="s">
        <v>500</v>
      </c>
      <c r="B13" s="183"/>
      <c r="C13" s="183"/>
      <c r="D13" s="183">
        <v>1</v>
      </c>
      <c r="E13" s="184">
        <f>내역서!G65</f>
        <v>899319.14855537459</v>
      </c>
      <c r="F13" s="184">
        <f t="shared" si="0"/>
        <v>899319.14855537459</v>
      </c>
      <c r="G13" s="184">
        <f>내역서!I65</f>
        <v>5267862.8610050008</v>
      </c>
      <c r="H13" s="184">
        <f t="shared" si="1"/>
        <v>5267862.8610050008</v>
      </c>
      <c r="I13" s="184">
        <f>내역서!K65</f>
        <v>0</v>
      </c>
      <c r="J13" s="184">
        <f>I13*D13</f>
        <v>0</v>
      </c>
      <c r="K13" s="184">
        <f>E13+G13+I13</f>
        <v>6167182.0095603755</v>
      </c>
      <c r="L13" s="184">
        <f t="shared" ref="L13" si="8">K13*D13</f>
        <v>6167182.0095603755</v>
      </c>
      <c r="M13" s="183"/>
    </row>
    <row r="14" spans="1:13" ht="24.95" customHeight="1">
      <c r="A14" s="182" t="s">
        <v>657</v>
      </c>
      <c r="B14" s="183"/>
      <c r="C14" s="183"/>
      <c r="D14" s="183">
        <v>1</v>
      </c>
      <c r="E14" s="184">
        <f>내역서!G69</f>
        <v>96000</v>
      </c>
      <c r="F14" s="184">
        <f t="shared" si="0"/>
        <v>96000</v>
      </c>
      <c r="G14" s="184">
        <f>내역서!I69</f>
        <v>236447.712</v>
      </c>
      <c r="H14" s="184">
        <f>G14*D14</f>
        <v>236447.712</v>
      </c>
      <c r="I14" s="184">
        <f>내역서!K69</f>
        <v>0</v>
      </c>
      <c r="J14" s="184">
        <f>I14*D14</f>
        <v>0</v>
      </c>
      <c r="K14" s="184">
        <f>E14+G14+I14</f>
        <v>332447.712</v>
      </c>
      <c r="L14" s="184">
        <f t="shared" ref="L14" si="9">K14*D14</f>
        <v>332447.712</v>
      </c>
      <c r="M14" s="183"/>
    </row>
    <row r="15" spans="1:13" ht="24.95" customHeight="1">
      <c r="A15" s="182"/>
      <c r="B15" s="183"/>
      <c r="C15" s="183"/>
      <c r="D15" s="183"/>
      <c r="E15" s="184"/>
      <c r="F15" s="184"/>
      <c r="G15" s="184"/>
      <c r="H15" s="184"/>
      <c r="I15" s="184"/>
      <c r="J15" s="184"/>
      <c r="K15" s="184"/>
      <c r="L15" s="184"/>
      <c r="M15" s="183"/>
    </row>
    <row r="16" spans="1:13" ht="24.95" customHeight="1">
      <c r="A16" s="182"/>
      <c r="B16" s="183"/>
      <c r="C16" s="183"/>
      <c r="D16" s="183"/>
      <c r="E16" s="184"/>
      <c r="F16" s="184"/>
      <c r="G16" s="184"/>
      <c r="H16" s="184"/>
      <c r="I16" s="184"/>
      <c r="J16" s="184"/>
      <c r="K16" s="184"/>
      <c r="L16" s="184"/>
      <c r="M16" s="183"/>
    </row>
    <row r="17" spans="1:13" ht="24.95" customHeight="1">
      <c r="A17" s="182"/>
      <c r="B17" s="183"/>
      <c r="C17" s="183"/>
      <c r="D17" s="183"/>
      <c r="E17" s="184"/>
      <c r="F17" s="184"/>
      <c r="G17" s="184"/>
      <c r="H17" s="184"/>
      <c r="I17" s="184"/>
      <c r="J17" s="184"/>
      <c r="K17" s="184"/>
      <c r="L17" s="184"/>
      <c r="M17" s="183"/>
    </row>
    <row r="18" spans="1:13" ht="24.95" customHeight="1">
      <c r="A18" s="182"/>
      <c r="B18" s="183"/>
      <c r="C18" s="183"/>
      <c r="D18" s="183"/>
      <c r="E18" s="184"/>
      <c r="F18" s="184"/>
      <c r="G18" s="184"/>
      <c r="H18" s="184"/>
      <c r="I18" s="184"/>
      <c r="J18" s="184"/>
      <c r="K18" s="184"/>
      <c r="L18" s="184"/>
      <c r="M18" s="183"/>
    </row>
    <row r="19" spans="1:13" ht="24.95" customHeight="1">
      <c r="A19" s="182"/>
      <c r="B19" s="183"/>
      <c r="C19" s="183"/>
      <c r="D19" s="183"/>
      <c r="E19" s="184"/>
      <c r="F19" s="184"/>
      <c r="G19" s="184"/>
      <c r="H19" s="184"/>
      <c r="I19" s="184"/>
      <c r="J19" s="184"/>
      <c r="K19" s="184"/>
      <c r="L19" s="184"/>
      <c r="M19" s="183"/>
    </row>
    <row r="20" spans="1:13" ht="24.95" customHeight="1">
      <c r="A20" s="182"/>
      <c r="B20" s="183"/>
      <c r="C20" s="183"/>
      <c r="D20" s="183"/>
      <c r="E20" s="184"/>
      <c r="F20" s="184"/>
      <c r="G20" s="184"/>
      <c r="H20" s="184"/>
      <c r="I20" s="184"/>
      <c r="J20" s="184"/>
      <c r="K20" s="184"/>
      <c r="L20" s="184"/>
      <c r="M20" s="183"/>
    </row>
    <row r="21" spans="1:13" ht="24.95" customHeight="1">
      <c r="A21" s="182"/>
      <c r="B21" s="183"/>
      <c r="C21" s="183"/>
      <c r="D21" s="183"/>
      <c r="E21" s="184"/>
      <c r="F21" s="184"/>
      <c r="G21" s="184"/>
      <c r="H21" s="184"/>
      <c r="I21" s="184"/>
      <c r="J21" s="184"/>
      <c r="K21" s="184"/>
      <c r="L21" s="184"/>
      <c r="M21" s="183"/>
    </row>
    <row r="22" spans="1:13" ht="24.95" customHeight="1">
      <c r="A22" s="182"/>
      <c r="B22" s="183"/>
      <c r="C22" s="183"/>
      <c r="D22" s="183"/>
      <c r="E22" s="184"/>
      <c r="F22" s="184"/>
      <c r="G22" s="184"/>
      <c r="H22" s="184"/>
      <c r="I22" s="184"/>
      <c r="J22" s="184"/>
      <c r="K22" s="184"/>
      <c r="L22" s="184"/>
      <c r="M22" s="183"/>
    </row>
    <row r="23" spans="1:13" ht="24.95" customHeight="1">
      <c r="A23" s="307" t="s">
        <v>552</v>
      </c>
      <c r="B23" s="307"/>
      <c r="C23" s="307"/>
      <c r="D23" s="307"/>
      <c r="E23" s="308"/>
      <c r="F23" s="308">
        <f>F13+F12+F11+F10+F9+F8+F7+F14</f>
        <v>10672774.528364757</v>
      </c>
      <c r="G23" s="308"/>
      <c r="H23" s="308">
        <f>H13+H12+H11+H10+H9+H8+H7+H14</f>
        <v>20720641.715412356</v>
      </c>
      <c r="I23" s="308"/>
      <c r="J23" s="308">
        <f>J13+J12+J11+J10+J9+J8+J7+J14</f>
        <v>0</v>
      </c>
      <c r="K23" s="308"/>
      <c r="L23" s="308">
        <f>L13+L12+L11+L10+L9+L8+L7+L14</f>
        <v>31393416.243777111</v>
      </c>
      <c r="M23" s="307"/>
    </row>
    <row r="24" spans="1:13" ht="24.95" customHeight="1">
      <c r="A24" s="306"/>
      <c r="B24" s="304"/>
      <c r="C24" s="304"/>
      <c r="D24" s="304"/>
      <c r="E24" s="305"/>
      <c r="F24" s="305"/>
      <c r="G24" s="305"/>
      <c r="H24" s="305"/>
      <c r="I24" s="305"/>
      <c r="J24" s="305"/>
      <c r="K24" s="305"/>
      <c r="L24" s="305"/>
      <c r="M24" s="304"/>
    </row>
    <row r="25" spans="1:13" ht="24.95" customHeight="1">
      <c r="A25" s="292"/>
      <c r="B25" s="292"/>
      <c r="C25" s="292"/>
      <c r="D25" s="292"/>
      <c r="E25" s="293"/>
      <c r="F25" s="293"/>
      <c r="G25" s="293"/>
      <c r="H25" s="293"/>
      <c r="I25" s="293"/>
      <c r="J25" s="293"/>
      <c r="K25" s="293"/>
      <c r="L25" s="293"/>
      <c r="M25" s="292"/>
    </row>
  </sheetData>
  <mergeCells count="9">
    <mergeCell ref="I3:J3"/>
    <mergeCell ref="K3:L3"/>
    <mergeCell ref="M3:M4"/>
    <mergeCell ref="A3:A4"/>
    <mergeCell ref="B3:B4"/>
    <mergeCell ref="C3:C4"/>
    <mergeCell ref="D3:D4"/>
    <mergeCell ref="E3:F3"/>
    <mergeCell ref="G3:H3"/>
  </mergeCells>
  <phoneticPr fontId="2" type="noConversion"/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pageSetUpPr fitToPage="1"/>
  </sheetPr>
  <dimension ref="A1:I94"/>
  <sheetViews>
    <sheetView view="pageBreakPreview" topLeftCell="A28" zoomScale="55" zoomScaleNormal="100" zoomScaleSheetLayoutView="55" workbookViewId="0">
      <selection activeCell="D1" sqref="D1:M2"/>
    </sheetView>
  </sheetViews>
  <sheetFormatPr defaultColWidth="9" defaultRowHeight="13.5"/>
  <cols>
    <col min="1" max="2" width="24.625" style="163" customWidth="1"/>
    <col min="3" max="4" width="7.625" style="165" customWidth="1"/>
    <col min="5" max="5" width="14.5" style="163" customWidth="1"/>
    <col min="6" max="8" width="18.625" style="163" customWidth="1"/>
    <col min="9" max="9" width="20.625" style="163" customWidth="1"/>
    <col min="10" max="16384" width="9" style="163"/>
  </cols>
  <sheetData>
    <row r="1" spans="1:9">
      <c r="A1" s="373" t="s">
        <v>11</v>
      </c>
      <c r="B1" s="373" t="s">
        <v>1</v>
      </c>
      <c r="C1" s="373" t="s">
        <v>132</v>
      </c>
      <c r="D1" s="373" t="s">
        <v>3</v>
      </c>
      <c r="E1" s="373" t="s">
        <v>133</v>
      </c>
      <c r="F1" s="373" t="s">
        <v>134</v>
      </c>
      <c r="G1" s="373" t="s">
        <v>135</v>
      </c>
      <c r="H1" s="373" t="s">
        <v>136</v>
      </c>
      <c r="I1" s="373" t="s">
        <v>7</v>
      </c>
    </row>
    <row r="2" spans="1:9">
      <c r="A2" s="374"/>
      <c r="B2" s="374"/>
      <c r="C2" s="374"/>
      <c r="D2" s="374"/>
      <c r="E2" s="374"/>
      <c r="F2" s="374"/>
      <c r="G2" s="374"/>
      <c r="H2" s="374"/>
      <c r="I2" s="374"/>
    </row>
    <row r="3" spans="1:9" s="178" customFormat="1" ht="20.45" customHeight="1">
      <c r="A3" s="196"/>
      <c r="B3" s="197"/>
      <c r="C3" s="198"/>
      <c r="D3" s="198"/>
      <c r="E3" s="197"/>
      <c r="F3" s="197"/>
      <c r="G3" s="197"/>
      <c r="H3" s="197"/>
      <c r="I3" s="199"/>
    </row>
    <row r="4" spans="1:9" s="178" customFormat="1" ht="21" customHeight="1">
      <c r="A4" s="206" t="s">
        <v>172</v>
      </c>
      <c r="B4" s="201"/>
      <c r="C4" s="202"/>
      <c r="D4" s="207"/>
      <c r="E4" s="201"/>
      <c r="F4" s="201"/>
      <c r="G4" s="201"/>
      <c r="H4" s="201"/>
      <c r="I4" s="203"/>
    </row>
    <row r="5" spans="1:9" s="178" customFormat="1" ht="21" customHeight="1">
      <c r="A5" s="200" t="s">
        <v>173</v>
      </c>
      <c r="B5" s="201"/>
      <c r="C5" s="202" t="s">
        <v>178</v>
      </c>
      <c r="D5" s="207">
        <v>1</v>
      </c>
      <c r="E5" s="201">
        <f>일위대가!F7</f>
        <v>0</v>
      </c>
      <c r="F5" s="201">
        <f>일위대가!H7</f>
        <v>1186.3</v>
      </c>
      <c r="G5" s="201">
        <f>일위대가!J7</f>
        <v>0</v>
      </c>
      <c r="H5" s="201">
        <f>E5+F5+G5</f>
        <v>1186.3</v>
      </c>
      <c r="I5" s="203" t="s">
        <v>199</v>
      </c>
    </row>
    <row r="6" spans="1:9" s="178" customFormat="1" ht="21" customHeight="1">
      <c r="A6" s="200" t="s">
        <v>174</v>
      </c>
      <c r="B6" s="201"/>
      <c r="C6" s="202" t="s">
        <v>178</v>
      </c>
      <c r="D6" s="207">
        <v>1</v>
      </c>
      <c r="E6" s="201">
        <f>일위대가!F14</f>
        <v>1829.8</v>
      </c>
      <c r="F6" s="201">
        <f>일위대가!H14</f>
        <v>1485.1</v>
      </c>
      <c r="G6" s="201">
        <f>일위대가!J14</f>
        <v>0</v>
      </c>
      <c r="H6" s="201">
        <f t="shared" ref="H6:H7" si="0">E6+F6+G6</f>
        <v>3314.8999999999996</v>
      </c>
      <c r="I6" s="203" t="s">
        <v>200</v>
      </c>
    </row>
    <row r="7" spans="1:9" s="178" customFormat="1" ht="21" customHeight="1">
      <c r="A7" s="200" t="s">
        <v>175</v>
      </c>
      <c r="B7" s="201"/>
      <c r="C7" s="202" t="s">
        <v>178</v>
      </c>
      <c r="D7" s="207">
        <v>1</v>
      </c>
      <c r="E7" s="201">
        <f>일위대가!F18</f>
        <v>0</v>
      </c>
      <c r="F7" s="201">
        <f>일위대가!H18</f>
        <v>10395.700000000001</v>
      </c>
      <c r="G7" s="201">
        <f>일위대가!J18</f>
        <v>0</v>
      </c>
      <c r="H7" s="201">
        <f t="shared" si="0"/>
        <v>10395.700000000001</v>
      </c>
      <c r="I7" s="203" t="s">
        <v>201</v>
      </c>
    </row>
    <row r="8" spans="1:9" s="178" customFormat="1" ht="21" customHeight="1">
      <c r="A8" s="200"/>
      <c r="B8" s="201"/>
      <c r="C8" s="202"/>
      <c r="D8" s="207"/>
      <c r="E8" s="201"/>
      <c r="F8" s="201"/>
      <c r="G8" s="201"/>
      <c r="H8" s="201"/>
      <c r="I8" s="203"/>
    </row>
    <row r="9" spans="1:9" s="178" customFormat="1" ht="21" customHeight="1">
      <c r="A9" s="206" t="s">
        <v>406</v>
      </c>
      <c r="B9" s="201"/>
      <c r="C9" s="202"/>
      <c r="D9" s="207"/>
      <c r="E9" s="201"/>
      <c r="F9" s="201"/>
      <c r="G9" s="201"/>
      <c r="H9" s="201"/>
      <c r="I9" s="203"/>
    </row>
    <row r="10" spans="1:9" s="178" customFormat="1" ht="21" customHeight="1">
      <c r="A10" s="287" t="s">
        <v>509</v>
      </c>
      <c r="B10" s="201"/>
      <c r="C10" s="202" t="s">
        <v>22</v>
      </c>
      <c r="D10" s="207">
        <v>1</v>
      </c>
      <c r="E10" s="201">
        <f>일위대가!F24</f>
        <v>204.5</v>
      </c>
      <c r="F10" s="201">
        <f>일위대가!H24</f>
        <v>5113.7999999999993</v>
      </c>
      <c r="G10" s="201">
        <f>일위대가!J24</f>
        <v>0</v>
      </c>
      <c r="H10" s="201">
        <f t="shared" ref="H10:H14" si="1">E10+F10+G10</f>
        <v>5318.2999999999993</v>
      </c>
      <c r="I10" s="203" t="s">
        <v>391</v>
      </c>
    </row>
    <row r="11" spans="1:9" s="178" customFormat="1" ht="21" customHeight="1">
      <c r="A11" s="287" t="s">
        <v>510</v>
      </c>
      <c r="B11" s="201"/>
      <c r="C11" s="202" t="s">
        <v>22</v>
      </c>
      <c r="D11" s="207">
        <v>1</v>
      </c>
      <c r="E11" s="201">
        <f>일위대가!F30</f>
        <v>227.8</v>
      </c>
      <c r="F11" s="201">
        <f>일위대가!H30</f>
        <v>5697.4</v>
      </c>
      <c r="G11" s="201">
        <f>일위대가!J30</f>
        <v>0</v>
      </c>
      <c r="H11" s="201">
        <f t="shared" si="1"/>
        <v>5925.2</v>
      </c>
      <c r="I11" s="203" t="s">
        <v>333</v>
      </c>
    </row>
    <row r="12" spans="1:9" s="178" customFormat="1" ht="21" customHeight="1">
      <c r="A12" s="287" t="s">
        <v>512</v>
      </c>
      <c r="B12" s="201"/>
      <c r="C12" s="202" t="s">
        <v>22</v>
      </c>
      <c r="D12" s="207">
        <v>1</v>
      </c>
      <c r="E12" s="201">
        <f>일위대가!F36</f>
        <v>181.2</v>
      </c>
      <c r="F12" s="201">
        <f>일위대가!H36</f>
        <v>4530.2999999999993</v>
      </c>
      <c r="G12" s="201">
        <f>일위대가!J36</f>
        <v>0</v>
      </c>
      <c r="H12" s="201">
        <f t="shared" si="1"/>
        <v>4711.4999999999991</v>
      </c>
      <c r="I12" s="203" t="s">
        <v>427</v>
      </c>
    </row>
    <row r="13" spans="1:9" s="178" customFormat="1" ht="21" customHeight="1">
      <c r="A13" s="287" t="s">
        <v>667</v>
      </c>
      <c r="B13" s="201"/>
      <c r="C13" s="202" t="s">
        <v>22</v>
      </c>
      <c r="D13" s="207">
        <v>1</v>
      </c>
      <c r="E13" s="201">
        <f>일위대가!F42</f>
        <v>204.5</v>
      </c>
      <c r="F13" s="201">
        <f>일위대가!H42</f>
        <v>5113.7999999999993</v>
      </c>
      <c r="G13" s="201">
        <f>일위대가!J42</f>
        <v>0</v>
      </c>
      <c r="H13" s="201">
        <f t="shared" si="1"/>
        <v>5318.2999999999993</v>
      </c>
      <c r="I13" s="203" t="s">
        <v>513</v>
      </c>
    </row>
    <row r="14" spans="1:9" s="178" customFormat="1" ht="21" customHeight="1">
      <c r="A14" s="200" t="s">
        <v>658</v>
      </c>
      <c r="B14" s="201"/>
      <c r="C14" s="202" t="s">
        <v>22</v>
      </c>
      <c r="D14" s="207">
        <v>1</v>
      </c>
      <c r="E14" s="201">
        <f>일위대가!F47</f>
        <v>0</v>
      </c>
      <c r="F14" s="201">
        <f>일위대가!H47</f>
        <v>1899.1</v>
      </c>
      <c r="G14" s="201">
        <f>일위대가!J47</f>
        <v>0</v>
      </c>
      <c r="H14" s="201">
        <f t="shared" si="1"/>
        <v>1899.1</v>
      </c>
      <c r="I14" s="203" t="s">
        <v>428</v>
      </c>
    </row>
    <row r="15" spans="1:9" s="178" customFormat="1" ht="21" customHeight="1">
      <c r="A15" s="200"/>
      <c r="B15" s="201"/>
      <c r="C15" s="202"/>
      <c r="D15" s="207"/>
      <c r="E15" s="201"/>
      <c r="F15" s="201"/>
      <c r="G15" s="201"/>
      <c r="H15" s="201"/>
      <c r="I15" s="203"/>
    </row>
    <row r="16" spans="1:9" s="178" customFormat="1" ht="21" customHeight="1">
      <c r="A16" s="206" t="s">
        <v>224</v>
      </c>
      <c r="B16" s="201"/>
      <c r="C16" s="202"/>
      <c r="D16" s="207"/>
      <c r="E16" s="201"/>
      <c r="F16" s="201"/>
      <c r="G16" s="201"/>
      <c r="H16" s="201"/>
      <c r="I16" s="203"/>
    </row>
    <row r="17" spans="1:9" s="178" customFormat="1" ht="21" customHeight="1">
      <c r="A17" s="287" t="s">
        <v>457</v>
      </c>
      <c r="B17" s="201" t="s">
        <v>618</v>
      </c>
      <c r="C17" s="202" t="s">
        <v>22</v>
      </c>
      <c r="D17" s="207">
        <v>1</v>
      </c>
      <c r="E17" s="201">
        <f>일위대가!F56</f>
        <v>40674.299999999996</v>
      </c>
      <c r="F17" s="201">
        <f>일위대가!H56</f>
        <v>30555.3</v>
      </c>
      <c r="G17" s="201">
        <f>일위대가!J56</f>
        <v>0</v>
      </c>
      <c r="H17" s="201">
        <f t="shared" ref="H17:H18" si="2">E17+F17+G17</f>
        <v>71229.599999999991</v>
      </c>
      <c r="I17" s="203" t="s">
        <v>679</v>
      </c>
    </row>
    <row r="18" spans="1:9" s="178" customFormat="1" ht="21" customHeight="1">
      <c r="A18" s="200" t="s">
        <v>455</v>
      </c>
      <c r="B18" s="201" t="s">
        <v>340</v>
      </c>
      <c r="C18" s="202" t="s">
        <v>22</v>
      </c>
      <c r="D18" s="207">
        <v>1</v>
      </c>
      <c r="E18" s="201">
        <f>일위대가!F65</f>
        <v>6114.7</v>
      </c>
      <c r="F18" s="201">
        <f>일위대가!H65</f>
        <v>16462.2</v>
      </c>
      <c r="G18" s="201">
        <f>일위대가!J65</f>
        <v>0</v>
      </c>
      <c r="H18" s="201">
        <f t="shared" si="2"/>
        <v>22576.9</v>
      </c>
      <c r="I18" s="203" t="s">
        <v>458</v>
      </c>
    </row>
    <row r="19" spans="1:9" s="178" customFormat="1" ht="21" customHeight="1">
      <c r="A19" s="200"/>
      <c r="B19" s="201"/>
      <c r="C19" s="202"/>
      <c r="D19" s="207"/>
      <c r="E19" s="201"/>
      <c r="F19" s="201"/>
      <c r="G19" s="201"/>
      <c r="H19" s="201"/>
      <c r="I19" s="203"/>
    </row>
    <row r="20" spans="1:9" s="178" customFormat="1" ht="21" customHeight="1">
      <c r="A20" s="206" t="s">
        <v>439</v>
      </c>
      <c r="B20" s="201"/>
      <c r="C20" s="202"/>
      <c r="D20" s="207"/>
      <c r="E20" s="201"/>
      <c r="F20" s="201"/>
      <c r="G20" s="201"/>
      <c r="H20" s="201"/>
      <c r="I20" s="203"/>
    </row>
    <row r="21" spans="1:9" s="178" customFormat="1" ht="21" customHeight="1">
      <c r="A21" s="287" t="s">
        <v>659</v>
      </c>
      <c r="B21" s="201"/>
      <c r="C21" s="202" t="s">
        <v>22</v>
      </c>
      <c r="D21" s="207">
        <v>1</v>
      </c>
      <c r="E21" s="201">
        <f>일위대가!F73</f>
        <v>14063.6</v>
      </c>
      <c r="F21" s="201">
        <f>일위대가!H73</f>
        <v>14498.599999999999</v>
      </c>
      <c r="G21" s="201">
        <f>일위대가!J73</f>
        <v>0</v>
      </c>
      <c r="H21" s="201">
        <f t="shared" ref="H21:H26" si="3">E21+F21+G21</f>
        <v>28562.199999999997</v>
      </c>
      <c r="I21" s="203" t="s">
        <v>590</v>
      </c>
    </row>
    <row r="22" spans="1:9" s="178" customFormat="1" ht="21" customHeight="1">
      <c r="A22" s="287" t="s">
        <v>625</v>
      </c>
      <c r="B22" s="201"/>
      <c r="C22" s="202" t="s">
        <v>22</v>
      </c>
      <c r="D22" s="207">
        <v>1</v>
      </c>
      <c r="E22" s="201">
        <f>일위대가!F81</f>
        <v>9007.3000000000011</v>
      </c>
      <c r="F22" s="201">
        <f>일위대가!H81</f>
        <v>12360.9</v>
      </c>
      <c r="G22" s="201">
        <f>일위대가!J81</f>
        <v>0</v>
      </c>
      <c r="H22" s="201">
        <f t="shared" ref="H22" si="4">E22+F22+G22</f>
        <v>21368.2</v>
      </c>
      <c r="I22" s="203" t="s">
        <v>393</v>
      </c>
    </row>
    <row r="23" spans="1:9" s="178" customFormat="1" ht="21" customHeight="1">
      <c r="A23" s="287" t="s">
        <v>523</v>
      </c>
      <c r="B23" s="201"/>
      <c r="C23" s="202" t="s">
        <v>22</v>
      </c>
      <c r="D23" s="207">
        <v>1</v>
      </c>
      <c r="E23" s="201">
        <f>일위대가!F89</f>
        <v>5955.4000000000005</v>
      </c>
      <c r="F23" s="201">
        <f>일위대가!H89</f>
        <v>24943.800000000003</v>
      </c>
      <c r="G23" s="201">
        <f>일위대가!J89</f>
        <v>0</v>
      </c>
      <c r="H23" s="201">
        <f t="shared" si="3"/>
        <v>30899.200000000004</v>
      </c>
      <c r="I23" s="203" t="s">
        <v>394</v>
      </c>
    </row>
    <row r="24" spans="1:9" s="178" customFormat="1" ht="21" customHeight="1">
      <c r="A24" s="287" t="s">
        <v>527</v>
      </c>
      <c r="B24" s="201"/>
      <c r="C24" s="202" t="s">
        <v>22</v>
      </c>
      <c r="D24" s="207">
        <v>1</v>
      </c>
      <c r="E24" s="201">
        <f>일위대가!F98</f>
        <v>6321.2000000000007</v>
      </c>
      <c r="F24" s="201">
        <f>일위대가!H98</f>
        <v>16912.2</v>
      </c>
      <c r="G24" s="201">
        <f>일위대가!J98</f>
        <v>0</v>
      </c>
      <c r="H24" s="201">
        <f t="shared" si="3"/>
        <v>23233.4</v>
      </c>
      <c r="I24" s="203" t="s">
        <v>537</v>
      </c>
    </row>
    <row r="25" spans="1:9" s="178" customFormat="1" ht="21" customHeight="1">
      <c r="A25" s="200" t="s">
        <v>445</v>
      </c>
      <c r="B25" s="201"/>
      <c r="C25" s="202" t="s">
        <v>446</v>
      </c>
      <c r="D25" s="207">
        <v>1</v>
      </c>
      <c r="E25" s="201">
        <f>일위대가!F106</f>
        <v>665.3</v>
      </c>
      <c r="F25" s="201">
        <f>일위대가!H106</f>
        <v>3490.7</v>
      </c>
      <c r="G25" s="201">
        <f>일위대가!J106</f>
        <v>0</v>
      </c>
      <c r="H25" s="201">
        <f t="shared" si="3"/>
        <v>4156</v>
      </c>
      <c r="I25" s="203" t="s">
        <v>395</v>
      </c>
    </row>
    <row r="26" spans="1:9" s="178" customFormat="1" ht="21" customHeight="1">
      <c r="A26" s="200" t="s">
        <v>534</v>
      </c>
      <c r="B26" s="201"/>
      <c r="C26" s="202" t="s">
        <v>22</v>
      </c>
      <c r="D26" s="207">
        <v>1</v>
      </c>
      <c r="E26" s="201">
        <f>일위대가!F113</f>
        <v>5264.2</v>
      </c>
      <c r="F26" s="201">
        <f>일위대가!H113</f>
        <v>5814.4</v>
      </c>
      <c r="G26" s="201">
        <f>일위대가!J113</f>
        <v>0</v>
      </c>
      <c r="H26" s="201">
        <f t="shared" si="3"/>
        <v>11078.599999999999</v>
      </c>
      <c r="I26" s="203" t="s">
        <v>670</v>
      </c>
    </row>
    <row r="27" spans="1:9" s="178" customFormat="1" ht="21" customHeight="1">
      <c r="A27" s="200"/>
      <c r="B27" s="201"/>
      <c r="C27" s="202"/>
      <c r="D27" s="207"/>
      <c r="E27" s="201"/>
      <c r="F27" s="201"/>
      <c r="G27" s="201"/>
      <c r="H27" s="201"/>
      <c r="I27" s="203"/>
    </row>
    <row r="28" spans="1:9" s="178" customFormat="1" ht="21" customHeight="1">
      <c r="A28" s="206" t="s">
        <v>216</v>
      </c>
      <c r="B28" s="201"/>
      <c r="C28" s="202"/>
      <c r="D28" s="207"/>
      <c r="E28" s="201"/>
      <c r="F28" s="201"/>
      <c r="G28" s="201"/>
      <c r="H28" s="201"/>
      <c r="I28" s="203"/>
    </row>
    <row r="29" spans="1:9" s="178" customFormat="1" ht="21" customHeight="1">
      <c r="A29" s="287" t="s">
        <v>693</v>
      </c>
      <c r="B29" s="242" t="s">
        <v>266</v>
      </c>
      <c r="C29" s="202" t="s">
        <v>265</v>
      </c>
      <c r="D29" s="207">
        <v>1</v>
      </c>
      <c r="E29" s="201">
        <f>일위대가!F125</f>
        <v>497.6</v>
      </c>
      <c r="F29" s="201">
        <f>일위대가!H125</f>
        <v>6630.5</v>
      </c>
      <c r="G29" s="201">
        <f>일위대가!J125</f>
        <v>0</v>
      </c>
      <c r="H29" s="201">
        <f t="shared" ref="H29:H36" si="5">E29+F29+G29</f>
        <v>7128.1</v>
      </c>
      <c r="I29" s="203" t="s">
        <v>702</v>
      </c>
    </row>
    <row r="30" spans="1:9" s="178" customFormat="1" ht="21" customHeight="1">
      <c r="A30" s="287" t="s">
        <v>694</v>
      </c>
      <c r="B30" s="242" t="s">
        <v>695</v>
      </c>
      <c r="C30" s="202" t="s">
        <v>265</v>
      </c>
      <c r="D30" s="207">
        <v>1</v>
      </c>
      <c r="E30" s="201">
        <f>일위대가!F129</f>
        <v>597.12</v>
      </c>
      <c r="F30" s="201">
        <f>일위대가!H129</f>
        <v>7956.5999999999995</v>
      </c>
      <c r="G30" s="201">
        <f>일위대가!J129</f>
        <v>0</v>
      </c>
      <c r="H30" s="201">
        <f>E30+F30+G30</f>
        <v>8553.7199999999993</v>
      </c>
      <c r="I30" s="203" t="s">
        <v>429</v>
      </c>
    </row>
    <row r="31" spans="1:9" s="178" customFormat="1" ht="21" customHeight="1">
      <c r="A31" s="287" t="s">
        <v>273</v>
      </c>
      <c r="B31" s="242" t="s">
        <v>266</v>
      </c>
      <c r="C31" s="202" t="s">
        <v>208</v>
      </c>
      <c r="D31" s="207">
        <v>1</v>
      </c>
      <c r="E31" s="201">
        <f>일위대가!F141</f>
        <v>624.19999999999993</v>
      </c>
      <c r="F31" s="201">
        <f>일위대가!H141</f>
        <v>6630.5</v>
      </c>
      <c r="G31" s="201">
        <f>일위대가!J141</f>
        <v>0</v>
      </c>
      <c r="H31" s="201">
        <f t="shared" ref="H31:H32" si="6">E31+F31+G31</f>
        <v>7254.7</v>
      </c>
      <c r="I31" s="203" t="s">
        <v>544</v>
      </c>
    </row>
    <row r="32" spans="1:9" s="178" customFormat="1" ht="21" customHeight="1">
      <c r="A32" s="287" t="s">
        <v>273</v>
      </c>
      <c r="B32" s="242" t="s">
        <v>695</v>
      </c>
      <c r="C32" s="202" t="s">
        <v>208</v>
      </c>
      <c r="D32" s="207">
        <v>1</v>
      </c>
      <c r="E32" s="201">
        <f>일위대가!F145</f>
        <v>811.45999999999992</v>
      </c>
      <c r="F32" s="201">
        <f>일위대가!H145</f>
        <v>8619.65</v>
      </c>
      <c r="G32" s="201">
        <f>일위대가!J145</f>
        <v>0</v>
      </c>
      <c r="H32" s="201">
        <f t="shared" si="6"/>
        <v>9431.1099999999988</v>
      </c>
      <c r="I32" s="203" t="s">
        <v>417</v>
      </c>
    </row>
    <row r="33" spans="1:9" s="178" customFormat="1" ht="21" customHeight="1">
      <c r="A33" s="287" t="s">
        <v>279</v>
      </c>
      <c r="B33" s="299" t="s">
        <v>369</v>
      </c>
      <c r="C33" s="202" t="s">
        <v>267</v>
      </c>
      <c r="D33" s="207">
        <v>1</v>
      </c>
      <c r="E33" s="201">
        <f>일위대가!F150</f>
        <v>9506.1741750399979</v>
      </c>
      <c r="F33" s="201">
        <f>일위대가!H150</f>
        <v>18920.338621599996</v>
      </c>
      <c r="G33" s="201">
        <f>일위대가!J150</f>
        <v>0</v>
      </c>
      <c r="H33" s="201">
        <f t="shared" si="5"/>
        <v>28426.512796639996</v>
      </c>
      <c r="I33" s="203" t="s">
        <v>591</v>
      </c>
    </row>
    <row r="34" spans="1:9" s="178" customFormat="1" ht="21" customHeight="1">
      <c r="A34" s="287" t="s">
        <v>671</v>
      </c>
      <c r="B34" s="299" t="s">
        <v>672</v>
      </c>
      <c r="C34" s="202" t="s">
        <v>195</v>
      </c>
      <c r="D34" s="207">
        <v>1</v>
      </c>
      <c r="E34" s="201">
        <f>일위대가!F155</f>
        <v>7042.9593975466651</v>
      </c>
      <c r="F34" s="201">
        <f>일위대가!H155</f>
        <v>17464.927958399996</v>
      </c>
      <c r="G34" s="201">
        <f>일위대가!J155</f>
        <v>0</v>
      </c>
      <c r="H34" s="201">
        <f t="shared" si="5"/>
        <v>24507.887355946659</v>
      </c>
      <c r="I34" s="203" t="s">
        <v>674</v>
      </c>
    </row>
    <row r="35" spans="1:9" s="178" customFormat="1" ht="21" customHeight="1">
      <c r="A35" s="287" t="s">
        <v>671</v>
      </c>
      <c r="B35" s="299" t="s">
        <v>673</v>
      </c>
      <c r="C35" s="202" t="s">
        <v>195</v>
      </c>
      <c r="D35" s="207">
        <v>1</v>
      </c>
      <c r="E35" s="201">
        <f>일위대가!F160</f>
        <v>5132.2038419911105</v>
      </c>
      <c r="F35" s="201">
        <f>일위대가!H160</f>
        <v>17464.927958399996</v>
      </c>
      <c r="G35" s="201">
        <f>일위대가!J160</f>
        <v>0</v>
      </c>
      <c r="H35" s="201">
        <f>일위대가!L160</f>
        <v>22597.1</v>
      </c>
      <c r="I35" s="203" t="s">
        <v>675</v>
      </c>
    </row>
    <row r="36" spans="1:9" s="178" customFormat="1" ht="21" customHeight="1">
      <c r="A36" s="287" t="s">
        <v>538</v>
      </c>
      <c r="B36" s="242"/>
      <c r="C36" s="202" t="s">
        <v>533</v>
      </c>
      <c r="D36" s="207">
        <v>1</v>
      </c>
      <c r="E36" s="201">
        <f>일위대가!F169</f>
        <v>9432.5</v>
      </c>
      <c r="F36" s="201">
        <f>일위대가!H169</f>
        <v>8859.6860000000015</v>
      </c>
      <c r="G36" s="201">
        <f>일위대가!J169</f>
        <v>0</v>
      </c>
      <c r="H36" s="201">
        <f t="shared" si="5"/>
        <v>18292.186000000002</v>
      </c>
      <c r="I36" s="203" t="s">
        <v>547</v>
      </c>
    </row>
    <row r="37" spans="1:9" s="178" customFormat="1" ht="21" customHeight="1">
      <c r="A37" s="200"/>
      <c r="B37" s="201"/>
      <c r="C37" s="202"/>
      <c r="D37" s="207"/>
      <c r="E37" s="201"/>
      <c r="F37" s="201"/>
      <c r="G37" s="201"/>
      <c r="H37" s="201"/>
      <c r="I37" s="203"/>
    </row>
    <row r="38" spans="1:9" s="178" customFormat="1" ht="21" customHeight="1">
      <c r="A38" s="206" t="s">
        <v>450</v>
      </c>
      <c r="B38" s="201"/>
      <c r="C38" s="202"/>
      <c r="D38" s="207"/>
      <c r="E38" s="201"/>
      <c r="F38" s="201"/>
      <c r="G38" s="201"/>
      <c r="H38" s="201"/>
      <c r="I38" s="203"/>
    </row>
    <row r="39" spans="1:9" s="178" customFormat="1" ht="21" customHeight="1">
      <c r="A39" s="287" t="s">
        <v>568</v>
      </c>
      <c r="B39" s="201" t="s">
        <v>576</v>
      </c>
      <c r="C39" s="202" t="s">
        <v>569</v>
      </c>
      <c r="D39" s="207">
        <v>1</v>
      </c>
      <c r="E39" s="201">
        <f>일위대가!F176</f>
        <v>286594.7</v>
      </c>
      <c r="F39" s="201">
        <f>일위대가!H176</f>
        <v>79735.58</v>
      </c>
      <c r="G39" s="201">
        <f>일위대가!J176</f>
        <v>0</v>
      </c>
      <c r="H39" s="201">
        <f t="shared" ref="H39:H43" si="7">E39+F39+G39</f>
        <v>366330.28</v>
      </c>
      <c r="I39" s="203" t="s">
        <v>713</v>
      </c>
    </row>
    <row r="40" spans="1:9" s="178" customFormat="1" ht="21" customHeight="1">
      <c r="A40" s="287" t="s">
        <v>583</v>
      </c>
      <c r="B40" s="201"/>
      <c r="C40" s="202" t="s">
        <v>584</v>
      </c>
      <c r="D40" s="207">
        <v>1</v>
      </c>
      <c r="E40" s="201">
        <f>일위대가!F183</f>
        <v>42039.115599999997</v>
      </c>
      <c r="F40" s="201">
        <f>일위대가!H183</f>
        <v>6955.78</v>
      </c>
      <c r="G40" s="201">
        <f>일위대가!J183</f>
        <v>0</v>
      </c>
      <c r="H40" s="201">
        <f t="shared" si="7"/>
        <v>48994.895599999996</v>
      </c>
      <c r="I40" s="203" t="s">
        <v>592</v>
      </c>
    </row>
    <row r="41" spans="1:9" s="178" customFormat="1" ht="21" customHeight="1">
      <c r="A41" s="287" t="s">
        <v>585</v>
      </c>
      <c r="B41" s="201"/>
      <c r="C41" s="202" t="s">
        <v>482</v>
      </c>
      <c r="D41" s="207">
        <v>1</v>
      </c>
      <c r="E41" s="201">
        <f>일위대가!F189</f>
        <v>7620</v>
      </c>
      <c r="F41" s="201">
        <f>일위대가!H189</f>
        <v>29979.385999999999</v>
      </c>
      <c r="G41" s="201">
        <f>일위대가!J189</f>
        <v>0</v>
      </c>
      <c r="H41" s="201">
        <f t="shared" si="7"/>
        <v>37599.385999999999</v>
      </c>
      <c r="I41" s="203" t="s">
        <v>593</v>
      </c>
    </row>
    <row r="42" spans="1:9" s="178" customFormat="1" ht="21" customHeight="1">
      <c r="A42" s="287" t="s">
        <v>641</v>
      </c>
      <c r="B42" s="201"/>
      <c r="C42" s="202" t="s">
        <v>177</v>
      </c>
      <c r="D42" s="207">
        <v>1</v>
      </c>
      <c r="E42" s="201">
        <f>일위대가!F195</f>
        <v>64000</v>
      </c>
      <c r="F42" s="201">
        <f>일위대가!H195</f>
        <v>20307.577000000001</v>
      </c>
      <c r="G42" s="201">
        <f>일위대가!J195</f>
        <v>0</v>
      </c>
      <c r="H42" s="201">
        <f t="shared" si="7"/>
        <v>84307.577000000005</v>
      </c>
      <c r="I42" s="203" t="s">
        <v>594</v>
      </c>
    </row>
    <row r="43" spans="1:9" s="178" customFormat="1" ht="21" customHeight="1">
      <c r="A43" s="200" t="s">
        <v>451</v>
      </c>
      <c r="B43" s="201"/>
      <c r="C43" s="202" t="s">
        <v>452</v>
      </c>
      <c r="D43" s="207">
        <v>1</v>
      </c>
      <c r="E43" s="201">
        <f>일위대가!F201</f>
        <v>154</v>
      </c>
      <c r="F43" s="201">
        <f>일위대가!H201</f>
        <v>3802.7049999999999</v>
      </c>
      <c r="G43" s="201">
        <f>일위대가!J201</f>
        <v>0</v>
      </c>
      <c r="H43" s="201">
        <f t="shared" si="7"/>
        <v>3956.7049999999999</v>
      </c>
      <c r="I43" s="203" t="s">
        <v>676</v>
      </c>
    </row>
    <row r="44" spans="1:9" s="178" customFormat="1" ht="21" customHeight="1">
      <c r="A44" s="200"/>
      <c r="B44" s="201"/>
      <c r="C44" s="202"/>
      <c r="D44" s="202"/>
      <c r="E44" s="201"/>
      <c r="F44" s="201"/>
      <c r="G44" s="201"/>
      <c r="H44" s="201"/>
      <c r="I44" s="203"/>
    </row>
    <row r="45" spans="1:9" s="178" customFormat="1" ht="21" customHeight="1">
      <c r="A45" s="206" t="s">
        <v>293</v>
      </c>
      <c r="B45" s="201"/>
      <c r="C45" s="202"/>
      <c r="D45" s="202"/>
      <c r="E45" s="201"/>
      <c r="F45" s="201"/>
      <c r="G45" s="201"/>
      <c r="H45" s="201"/>
      <c r="I45" s="203"/>
    </row>
    <row r="46" spans="1:9" s="178" customFormat="1" ht="21" customHeight="1">
      <c r="A46" s="200" t="s">
        <v>312</v>
      </c>
      <c r="B46" s="201" t="s">
        <v>317</v>
      </c>
      <c r="C46" s="202" t="s">
        <v>176</v>
      </c>
      <c r="D46" s="207">
        <v>1</v>
      </c>
      <c r="E46" s="201">
        <f>일위대가!F211</f>
        <v>2092.7801422222224</v>
      </c>
      <c r="F46" s="201">
        <f>일위대가!H211</f>
        <v>17805.198</v>
      </c>
      <c r="G46" s="201">
        <f>일위대가!J211</f>
        <v>0</v>
      </c>
      <c r="H46" s="201">
        <f t="shared" ref="H46:H49" si="8">E46+F46+G46</f>
        <v>19897.978142222222</v>
      </c>
      <c r="I46" s="203" t="s">
        <v>714</v>
      </c>
    </row>
    <row r="47" spans="1:9" s="178" customFormat="1" ht="21" customHeight="1">
      <c r="A47" s="200" t="s">
        <v>295</v>
      </c>
      <c r="B47" s="201" t="s">
        <v>317</v>
      </c>
      <c r="C47" s="202" t="s">
        <v>176</v>
      </c>
      <c r="D47" s="207">
        <v>1</v>
      </c>
      <c r="E47" s="201">
        <f>일위대가!F218</f>
        <v>2182.5985066666667</v>
      </c>
      <c r="F47" s="201">
        <f>일위대가!H218</f>
        <v>6096.5919999999996</v>
      </c>
      <c r="G47" s="201">
        <f>일위대가!J218</f>
        <v>0</v>
      </c>
      <c r="H47" s="201">
        <f t="shared" si="8"/>
        <v>8279.1905066666659</v>
      </c>
      <c r="I47" s="203" t="s">
        <v>595</v>
      </c>
    </row>
    <row r="48" spans="1:9" s="178" customFormat="1" ht="21" customHeight="1">
      <c r="A48" s="200" t="s">
        <v>295</v>
      </c>
      <c r="B48" s="201" t="s">
        <v>540</v>
      </c>
      <c r="C48" s="202" t="s">
        <v>176</v>
      </c>
      <c r="D48" s="207">
        <v>1</v>
      </c>
      <c r="E48" s="201">
        <f>일위대가!F225</f>
        <v>2206.9848746666667</v>
      </c>
      <c r="F48" s="201">
        <f>일위대가!H225</f>
        <v>7315.9103999999998</v>
      </c>
      <c r="G48" s="201">
        <f>일위대가!J225</f>
        <v>0</v>
      </c>
      <c r="H48" s="201">
        <f t="shared" si="8"/>
        <v>9522.8952746666655</v>
      </c>
      <c r="I48" s="203" t="s">
        <v>596</v>
      </c>
    </row>
    <row r="49" spans="1:9" s="178" customFormat="1" ht="21" customHeight="1">
      <c r="A49" s="200" t="s">
        <v>424</v>
      </c>
      <c r="B49" s="201"/>
      <c r="C49" s="202" t="s">
        <v>176</v>
      </c>
      <c r="D49" s="207">
        <v>1</v>
      </c>
      <c r="E49" s="201">
        <f>일위대가!F231</f>
        <v>38.846249999999998</v>
      </c>
      <c r="F49" s="201">
        <f>일위대가!H231</f>
        <v>1294.875</v>
      </c>
      <c r="G49" s="201">
        <f>일위대가!J231</f>
        <v>0</v>
      </c>
      <c r="H49" s="201">
        <f t="shared" si="8"/>
        <v>1333.7212500000001</v>
      </c>
      <c r="I49" s="203" t="s">
        <v>677</v>
      </c>
    </row>
    <row r="50" spans="1:9" ht="21" customHeight="1">
      <c r="A50" s="200"/>
      <c r="B50" s="201"/>
      <c r="C50" s="202"/>
      <c r="D50" s="202"/>
      <c r="E50" s="201"/>
      <c r="F50" s="201"/>
      <c r="G50" s="201"/>
      <c r="H50" s="201"/>
      <c r="I50" s="203"/>
    </row>
    <row r="51" spans="1:9" s="178" customFormat="1" ht="21" customHeight="1">
      <c r="A51" s="206" t="s">
        <v>548</v>
      </c>
      <c r="B51" s="201"/>
      <c r="C51" s="202"/>
      <c r="D51" s="207"/>
      <c r="E51" s="201"/>
      <c r="F51" s="201"/>
      <c r="G51" s="201"/>
      <c r="H51" s="201"/>
      <c r="I51" s="203"/>
    </row>
    <row r="52" spans="1:9" s="178" customFormat="1" ht="21" customHeight="1">
      <c r="A52" s="200" t="s">
        <v>751</v>
      </c>
      <c r="B52" s="201"/>
      <c r="C52" s="202" t="s">
        <v>546</v>
      </c>
      <c r="D52" s="207">
        <v>1</v>
      </c>
      <c r="E52" s="201">
        <f>일위대가!F236</f>
        <v>24000</v>
      </c>
      <c r="F52" s="201">
        <f>일위대가!H236</f>
        <v>59111.928</v>
      </c>
      <c r="G52" s="201">
        <f>일위대가!J236</f>
        <v>0</v>
      </c>
      <c r="H52" s="201">
        <f t="shared" ref="H52" si="9">E52+F52+G52</f>
        <v>83111.928</v>
      </c>
      <c r="I52" s="203" t="s">
        <v>715</v>
      </c>
    </row>
    <row r="53" spans="1:9" s="178" customFormat="1" ht="21" customHeight="1">
      <c r="A53" s="314"/>
      <c r="B53" s="204"/>
      <c r="C53" s="205"/>
      <c r="D53" s="315"/>
      <c r="E53" s="204"/>
      <c r="F53" s="204"/>
      <c r="G53" s="204"/>
      <c r="H53" s="204"/>
      <c r="I53" s="316"/>
    </row>
    <row r="54" spans="1:9" ht="21" customHeight="1"/>
    <row r="55" spans="1:9" ht="21" customHeight="1"/>
    <row r="56" spans="1:9" ht="21" customHeight="1"/>
    <row r="57" spans="1:9" ht="21" customHeight="1"/>
    <row r="58" spans="1:9" ht="21" customHeight="1"/>
    <row r="59" spans="1:9" ht="21" customHeight="1"/>
    <row r="60" spans="1:9" ht="21" customHeight="1"/>
    <row r="61" spans="1:9" ht="21" customHeight="1"/>
    <row r="62" spans="1:9" ht="21" customHeight="1"/>
    <row r="63" spans="1:9" ht="21" customHeight="1"/>
    <row r="64" spans="1:9" ht="21" customHeight="1"/>
    <row r="65" ht="21" customHeight="1"/>
    <row r="66" ht="21" customHeight="1"/>
    <row r="67" ht="21" customHeight="1"/>
    <row r="68" ht="21" customHeight="1"/>
    <row r="69" ht="21" customHeight="1"/>
    <row r="70" ht="21" customHeight="1"/>
    <row r="71" ht="21" customHeight="1"/>
    <row r="72" ht="21" customHeight="1"/>
    <row r="73" ht="21" customHeight="1"/>
    <row r="74" ht="21" customHeight="1"/>
    <row r="75" ht="21" customHeight="1"/>
    <row r="76" ht="21" customHeight="1"/>
    <row r="77" ht="21" customHeight="1"/>
    <row r="78" ht="21" customHeight="1"/>
    <row r="79" ht="21" customHeight="1"/>
    <row r="80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92" ht="21" customHeight="1"/>
    <row r="93" ht="21" customHeight="1"/>
    <row r="94" ht="21" customHeight="1"/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honeticPr fontId="2" type="noConversion"/>
  <printOptions horizontalCentered="1"/>
  <pageMargins left="0.39370078740157483" right="0.39370078740157483" top="0.74803149606299213" bottom="0.74803149606299213" header="0.51181102362204722" footer="0.31496062992125984"/>
  <pageSetup paperSize="9" scale="82" fitToHeight="0" orientation="landscape" r:id="rId1"/>
  <headerFooter>
    <oddHeader>&amp;C일 위 대 가 목 록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N109"/>
  <sheetViews>
    <sheetView view="pageBreakPreview" zoomScaleNormal="100" zoomScaleSheetLayoutView="100" workbookViewId="0">
      <selection activeCell="F11" sqref="F11"/>
    </sheetView>
  </sheetViews>
  <sheetFormatPr defaultColWidth="9" defaultRowHeight="12"/>
  <cols>
    <col min="1" max="1" width="5.875" style="12" customWidth="1"/>
    <col min="2" max="2" width="24.875" style="2" customWidth="1"/>
    <col min="3" max="3" width="23.875" style="2" customWidth="1"/>
    <col min="4" max="4" width="7.625" style="12" customWidth="1"/>
    <col min="5" max="5" width="14.5" style="17" customWidth="1"/>
    <col min="6" max="13" width="15.625" style="2" customWidth="1"/>
    <col min="14" max="14" width="13.75" style="2" customWidth="1"/>
    <col min="15" max="15" width="12.5" style="2" bestFit="1" customWidth="1"/>
    <col min="16" max="16384" width="9" style="2"/>
  </cols>
  <sheetData>
    <row r="1" spans="1:14" ht="20.100000000000001" customHeight="1">
      <c r="A1" s="373" t="s">
        <v>0</v>
      </c>
      <c r="B1" s="373" t="s">
        <v>11</v>
      </c>
      <c r="C1" s="373" t="s">
        <v>1</v>
      </c>
      <c r="D1" s="373" t="s">
        <v>2</v>
      </c>
      <c r="E1" s="375" t="s">
        <v>3</v>
      </c>
      <c r="F1" s="377" t="s">
        <v>8</v>
      </c>
      <c r="G1" s="377"/>
      <c r="H1" s="377" t="s">
        <v>9</v>
      </c>
      <c r="I1" s="377"/>
      <c r="J1" s="377" t="s">
        <v>322</v>
      </c>
      <c r="K1" s="377"/>
      <c r="L1" s="377" t="s">
        <v>10</v>
      </c>
      <c r="M1" s="377"/>
      <c r="N1" s="378" t="s">
        <v>7</v>
      </c>
    </row>
    <row r="2" spans="1:14" ht="20.100000000000001" customHeight="1">
      <c r="A2" s="374"/>
      <c r="B2" s="374"/>
      <c r="C2" s="374"/>
      <c r="D2" s="374"/>
      <c r="E2" s="376"/>
      <c r="F2" s="311" t="s">
        <v>4</v>
      </c>
      <c r="G2" s="311" t="s">
        <v>5</v>
      </c>
      <c r="H2" s="311" t="s">
        <v>6</v>
      </c>
      <c r="I2" s="311" t="s">
        <v>5</v>
      </c>
      <c r="J2" s="311" t="s">
        <v>4</v>
      </c>
      <c r="K2" s="311" t="s">
        <v>5</v>
      </c>
      <c r="L2" s="311" t="s">
        <v>4</v>
      </c>
      <c r="M2" s="311" t="s">
        <v>5</v>
      </c>
      <c r="N2" s="379"/>
    </row>
    <row r="3" spans="1:14" ht="24.95" customHeight="1">
      <c r="A3" s="317" t="s">
        <v>12</v>
      </c>
      <c r="B3" s="4" t="str">
        <f>내역서갑지!B4</f>
        <v>고양시 학교밖청소년 전용공간 조성공사</v>
      </c>
      <c r="C3" s="5"/>
      <c r="D3" s="3"/>
      <c r="E3" s="13"/>
      <c r="F3" s="5"/>
      <c r="G3" s="5"/>
      <c r="H3" s="5"/>
      <c r="I3" s="5"/>
      <c r="J3" s="5"/>
      <c r="K3" s="5"/>
      <c r="L3" s="5"/>
      <c r="M3" s="5"/>
      <c r="N3" s="318"/>
    </row>
    <row r="4" spans="1:14" ht="24.95" customHeight="1">
      <c r="A4" s="319" t="s">
        <v>14</v>
      </c>
      <c r="B4" s="6" t="s">
        <v>27</v>
      </c>
      <c r="C4" s="7"/>
      <c r="D4" s="8"/>
      <c r="E4" s="14"/>
      <c r="F4" s="7"/>
      <c r="G4" s="7"/>
      <c r="H4" s="7"/>
      <c r="I4" s="7"/>
      <c r="J4" s="7"/>
      <c r="K4" s="7"/>
      <c r="L4" s="7"/>
      <c r="M4" s="7"/>
      <c r="N4" s="320"/>
    </row>
    <row r="5" spans="1:14" ht="24.95" customHeight="1">
      <c r="A5" s="321" t="s">
        <v>15</v>
      </c>
      <c r="B5" s="7" t="str">
        <f>B15</f>
        <v>가설공사</v>
      </c>
      <c r="C5" s="7"/>
      <c r="D5" s="8" t="s">
        <v>13</v>
      </c>
      <c r="E5" s="14">
        <v>1</v>
      </c>
      <c r="F5" s="7"/>
      <c r="G5" s="7">
        <f>G20</f>
        <v>404404.098</v>
      </c>
      <c r="H5" s="7"/>
      <c r="I5" s="7">
        <f>I20</f>
        <v>2887959.7710000002</v>
      </c>
      <c r="J5" s="7"/>
      <c r="K5" s="7">
        <f>K20</f>
        <v>0</v>
      </c>
      <c r="L5" s="7"/>
      <c r="M5" s="7">
        <f>M20</f>
        <v>3292363.8689999999</v>
      </c>
      <c r="N5" s="320"/>
    </row>
    <row r="6" spans="1:14" ht="24.95" customHeight="1">
      <c r="A6" s="321" t="s">
        <v>17</v>
      </c>
      <c r="B6" s="7" t="s">
        <v>408</v>
      </c>
      <c r="C6" s="7"/>
      <c r="D6" s="8" t="s">
        <v>13</v>
      </c>
      <c r="E6" s="14">
        <v>1</v>
      </c>
      <c r="F6" s="7"/>
      <c r="G6" s="7">
        <f>G28</f>
        <v>35348.166999999994</v>
      </c>
      <c r="H6" s="7"/>
      <c r="I6" s="7">
        <f>I28</f>
        <v>910061.29199999978</v>
      </c>
      <c r="J6" s="7"/>
      <c r="K6" s="7">
        <f>K28</f>
        <v>0</v>
      </c>
      <c r="L6" s="7"/>
      <c r="M6" s="7">
        <f>M28</f>
        <v>945409.45899999992</v>
      </c>
      <c r="N6" s="320"/>
    </row>
    <row r="7" spans="1:14" ht="24.95" customHeight="1">
      <c r="A7" s="321" t="s">
        <v>18</v>
      </c>
      <c r="B7" s="7" t="str">
        <f>B29</f>
        <v>목공사</v>
      </c>
      <c r="C7" s="7"/>
      <c r="D7" s="8" t="s">
        <v>13</v>
      </c>
      <c r="E7" s="14">
        <v>1</v>
      </c>
      <c r="F7" s="7"/>
      <c r="G7" s="7">
        <f>G33</f>
        <v>915139.38249999983</v>
      </c>
      <c r="H7" s="7"/>
      <c r="I7" s="7">
        <f>I33</f>
        <v>1326897.345</v>
      </c>
      <c r="J7" s="7"/>
      <c r="K7" s="7">
        <f>K33</f>
        <v>0</v>
      </c>
      <c r="L7" s="7"/>
      <c r="M7" s="7">
        <f>M33</f>
        <v>2242036.7275</v>
      </c>
      <c r="N7" s="320"/>
    </row>
    <row r="8" spans="1:14" ht="24.95" customHeight="1">
      <c r="A8" s="321" t="s">
        <v>19</v>
      </c>
      <c r="B8" s="7" t="str">
        <f>B34</f>
        <v>수장공사</v>
      </c>
      <c r="C8" s="7"/>
      <c r="D8" s="8" t="s">
        <v>13</v>
      </c>
      <c r="E8" s="14">
        <v>1</v>
      </c>
      <c r="F8" s="7"/>
      <c r="G8" s="7">
        <f>G43</f>
        <v>4684796.2706000004</v>
      </c>
      <c r="H8" s="7"/>
      <c r="I8" s="7">
        <f>I43</f>
        <v>6431565.6295999996</v>
      </c>
      <c r="J8" s="7"/>
      <c r="K8" s="7">
        <f>K43</f>
        <v>0</v>
      </c>
      <c r="L8" s="7"/>
      <c r="M8" s="7">
        <f>M43</f>
        <v>11116361.9002</v>
      </c>
      <c r="N8" s="320"/>
    </row>
    <row r="9" spans="1:14" ht="24.95" customHeight="1">
      <c r="A9" s="321" t="s">
        <v>425</v>
      </c>
      <c r="B9" s="7" t="str">
        <f>B44</f>
        <v>금속공사</v>
      </c>
      <c r="C9" s="7"/>
      <c r="D9" s="8" t="s">
        <v>13</v>
      </c>
      <c r="E9" s="14">
        <v>1</v>
      </c>
      <c r="F9" s="7"/>
      <c r="G9" s="7">
        <f>G50</f>
        <v>1865593.8461093837</v>
      </c>
      <c r="H9" s="7"/>
      <c r="I9" s="7">
        <f>I50</f>
        <v>2657653.2075953516</v>
      </c>
      <c r="J9" s="7"/>
      <c r="K9" s="7">
        <f>K50</f>
        <v>0</v>
      </c>
      <c r="L9" s="7"/>
      <c r="M9" s="7">
        <f>M50</f>
        <v>4523247.0537047349</v>
      </c>
      <c r="N9" s="320"/>
    </row>
    <row r="10" spans="1:14" ht="24.95" customHeight="1">
      <c r="A10" s="321" t="s">
        <v>23</v>
      </c>
      <c r="B10" s="7" t="str">
        <f>B51</f>
        <v>창호공사</v>
      </c>
      <c r="C10" s="7"/>
      <c r="D10" s="8" t="s">
        <v>13</v>
      </c>
      <c r="E10" s="14">
        <v>1</v>
      </c>
      <c r="F10" s="7"/>
      <c r="G10" s="7">
        <f>G58</f>
        <v>1772173.6156000001</v>
      </c>
      <c r="H10" s="7"/>
      <c r="I10" s="7">
        <f>I58</f>
        <v>1002193.897212</v>
      </c>
      <c r="J10" s="7"/>
      <c r="K10" s="7">
        <f>K58</f>
        <v>0</v>
      </c>
      <c r="L10" s="7"/>
      <c r="M10" s="7">
        <f>M58</f>
        <v>2774367.5128120002</v>
      </c>
      <c r="N10" s="320"/>
    </row>
    <row r="11" spans="1:14" ht="24.95" customHeight="1">
      <c r="A11" s="321" t="s">
        <v>286</v>
      </c>
      <c r="B11" s="7" t="str">
        <f>B59</f>
        <v>도장공사</v>
      </c>
      <c r="C11" s="7"/>
      <c r="D11" s="8" t="s">
        <v>13</v>
      </c>
      <c r="E11" s="14">
        <v>1</v>
      </c>
      <c r="F11" s="7"/>
      <c r="G11" s="7">
        <f>G65</f>
        <v>899319.14855537459</v>
      </c>
      <c r="H11" s="7"/>
      <c r="I11" s="7">
        <f>I65</f>
        <v>5267862.8610050008</v>
      </c>
      <c r="J11" s="7"/>
      <c r="K11" s="7">
        <f>K65</f>
        <v>0</v>
      </c>
      <c r="L11" s="7"/>
      <c r="M11" s="7">
        <f>M65</f>
        <v>6167182.0095603755</v>
      </c>
      <c r="N11" s="320"/>
    </row>
    <row r="12" spans="1:14" ht="24.95" customHeight="1">
      <c r="A12" s="321" t="s">
        <v>486</v>
      </c>
      <c r="B12" s="7" t="s">
        <v>607</v>
      </c>
      <c r="C12" s="7"/>
      <c r="D12" s="8" t="s">
        <v>13</v>
      </c>
      <c r="E12" s="14">
        <v>1</v>
      </c>
      <c r="F12" s="7"/>
      <c r="G12" s="7">
        <f>G69</f>
        <v>96000</v>
      </c>
      <c r="H12" s="7"/>
      <c r="I12" s="7">
        <f>I69</f>
        <v>236447.712</v>
      </c>
      <c r="J12" s="7"/>
      <c r="K12" s="7">
        <f>K88</f>
        <v>0</v>
      </c>
      <c r="L12" s="7"/>
      <c r="M12" s="7">
        <f>M69</f>
        <v>332447.712</v>
      </c>
      <c r="N12" s="320"/>
    </row>
    <row r="13" spans="1:14" ht="24.95" customHeight="1">
      <c r="A13" s="321"/>
      <c r="B13" s="7"/>
      <c r="C13" s="7"/>
      <c r="D13" s="8"/>
      <c r="E13" s="14"/>
      <c r="F13" s="7"/>
      <c r="G13" s="7"/>
      <c r="H13" s="7"/>
      <c r="I13" s="7"/>
      <c r="J13" s="7"/>
      <c r="K13" s="7"/>
      <c r="L13" s="7"/>
      <c r="M13" s="7"/>
      <c r="N13" s="320"/>
    </row>
    <row r="14" spans="1:14" ht="24.95" customHeight="1">
      <c r="A14" s="322"/>
      <c r="B14" s="10" t="s">
        <v>24</v>
      </c>
      <c r="C14" s="10"/>
      <c r="D14" s="11"/>
      <c r="E14" s="16"/>
      <c r="F14" s="10"/>
      <c r="G14" s="10">
        <f>SUM(G5:G13)</f>
        <v>10672774.528364757</v>
      </c>
      <c r="H14" s="10"/>
      <c r="I14" s="10">
        <f>SUM(I5:I13)</f>
        <v>20720641.715412352</v>
      </c>
      <c r="J14" s="10"/>
      <c r="K14" s="10">
        <f>SUM(K5:K13)</f>
        <v>0</v>
      </c>
      <c r="L14" s="10"/>
      <c r="M14" s="10">
        <f>SUM(M5:M13)</f>
        <v>31393416.243777111</v>
      </c>
      <c r="N14" s="323"/>
    </row>
    <row r="15" spans="1:14" ht="24.95" customHeight="1">
      <c r="A15" s="321" t="s">
        <v>15</v>
      </c>
      <c r="B15" s="7" t="s">
        <v>16</v>
      </c>
      <c r="C15" s="7"/>
      <c r="D15" s="8"/>
      <c r="E15" s="14"/>
      <c r="F15" s="7"/>
      <c r="G15" s="7"/>
      <c r="H15" s="7"/>
      <c r="I15" s="7"/>
      <c r="J15" s="7"/>
      <c r="K15" s="7"/>
      <c r="L15" s="7"/>
      <c r="M15" s="7"/>
      <c r="N15" s="320"/>
    </row>
    <row r="16" spans="1:14" ht="24.95" customHeight="1">
      <c r="A16" s="324"/>
      <c r="B16" s="7" t="s">
        <v>26</v>
      </c>
      <c r="C16" s="7"/>
      <c r="D16" s="8" t="s">
        <v>22</v>
      </c>
      <c r="E16" s="14">
        <f>물량산출서!E4</f>
        <v>221.01</v>
      </c>
      <c r="F16" s="7">
        <f>일위대가목록!E5</f>
        <v>0</v>
      </c>
      <c r="G16" s="7">
        <f>F16*E16</f>
        <v>0</v>
      </c>
      <c r="H16" s="7">
        <f>일위대가목록!F5</f>
        <v>1186.3</v>
      </c>
      <c r="I16" s="7">
        <f>H16*E16</f>
        <v>262184.163</v>
      </c>
      <c r="J16" s="7">
        <f>일위대가목록!G5</f>
        <v>0</v>
      </c>
      <c r="K16" s="7">
        <f t="shared" ref="K16:K18" si="0">J16*E16</f>
        <v>0</v>
      </c>
      <c r="L16" s="7">
        <f>F16+H16+J16</f>
        <v>1186.3</v>
      </c>
      <c r="M16" s="7">
        <f>L16*E16</f>
        <v>262184.163</v>
      </c>
      <c r="N16" s="320"/>
    </row>
    <row r="17" spans="1:14" ht="24.95" customHeight="1">
      <c r="A17" s="324"/>
      <c r="B17" s="7" t="s">
        <v>20</v>
      </c>
      <c r="C17" s="7"/>
      <c r="D17" s="8" t="s">
        <v>22</v>
      </c>
      <c r="E17" s="14">
        <f>물량산출서!E5</f>
        <v>221.01</v>
      </c>
      <c r="F17" s="7">
        <f>일위대가목록!E6</f>
        <v>1829.8</v>
      </c>
      <c r="G17" s="7">
        <f>F17*E17</f>
        <v>404404.098</v>
      </c>
      <c r="H17" s="7">
        <f>일위대가목록!F6</f>
        <v>1485.1</v>
      </c>
      <c r="I17" s="7">
        <f>H17*E17</f>
        <v>328221.95099999994</v>
      </c>
      <c r="J17" s="7">
        <f>일위대가목록!G6</f>
        <v>0</v>
      </c>
      <c r="K17" s="7">
        <f t="shared" si="0"/>
        <v>0</v>
      </c>
      <c r="L17" s="7">
        <f>F17+H17</f>
        <v>3314.8999999999996</v>
      </c>
      <c r="M17" s="7">
        <f>L17*E17</f>
        <v>732626.04899999988</v>
      </c>
      <c r="N17" s="320"/>
    </row>
    <row r="18" spans="1:14" ht="24.95" customHeight="1">
      <c r="A18" s="324"/>
      <c r="B18" s="7" t="s">
        <v>21</v>
      </c>
      <c r="C18" s="7"/>
      <c r="D18" s="8" t="s">
        <v>22</v>
      </c>
      <c r="E18" s="14">
        <f>물량산출서!E6</f>
        <v>221.01</v>
      </c>
      <c r="F18" s="7">
        <f>일위대가목록!E7</f>
        <v>0</v>
      </c>
      <c r="G18" s="7">
        <f t="shared" ref="G18" si="1">F18*E18</f>
        <v>0</v>
      </c>
      <c r="H18" s="7">
        <f>일위대가목록!F7</f>
        <v>10395.700000000001</v>
      </c>
      <c r="I18" s="7">
        <f t="shared" ref="I18" si="2">H18*E18</f>
        <v>2297553.6570000001</v>
      </c>
      <c r="J18" s="7">
        <f>일위대가목록!G7</f>
        <v>0</v>
      </c>
      <c r="K18" s="7">
        <f t="shared" si="0"/>
        <v>0</v>
      </c>
      <c r="L18" s="7">
        <f t="shared" ref="L18" si="3">F18+H18</f>
        <v>10395.700000000001</v>
      </c>
      <c r="M18" s="7">
        <f t="shared" ref="M18" si="4">L18*E18</f>
        <v>2297553.6570000001</v>
      </c>
      <c r="N18" s="320"/>
    </row>
    <row r="19" spans="1:14" ht="24.95" customHeight="1">
      <c r="A19" s="324"/>
      <c r="B19" s="7"/>
      <c r="C19" s="7"/>
      <c r="D19" s="8"/>
      <c r="E19" s="14"/>
      <c r="F19" s="7"/>
      <c r="G19" s="7"/>
      <c r="H19" s="7"/>
      <c r="I19" s="7"/>
      <c r="J19" s="7"/>
      <c r="K19" s="7"/>
      <c r="L19" s="7"/>
      <c r="M19" s="7"/>
      <c r="N19" s="320"/>
    </row>
    <row r="20" spans="1:14" ht="24.95" customHeight="1">
      <c r="A20" s="325"/>
      <c r="B20" s="1" t="s">
        <v>25</v>
      </c>
      <c r="C20" s="1"/>
      <c r="D20" s="9"/>
      <c r="E20" s="15"/>
      <c r="F20" s="1"/>
      <c r="G20" s="1">
        <f>SUM(G16:G19)</f>
        <v>404404.098</v>
      </c>
      <c r="H20" s="1"/>
      <c r="I20" s="1">
        <f>SUM(I16:I19)</f>
        <v>2887959.7710000002</v>
      </c>
      <c r="J20" s="1"/>
      <c r="K20" s="1">
        <f>SUM(K16:K19)</f>
        <v>0</v>
      </c>
      <c r="L20" s="1"/>
      <c r="M20" s="1">
        <f>SUM(M16:M19)</f>
        <v>3292363.8689999999</v>
      </c>
      <c r="N20" s="326"/>
    </row>
    <row r="21" spans="1:14" ht="24.95" customHeight="1">
      <c r="A21" s="321" t="s">
        <v>405</v>
      </c>
      <c r="B21" s="7" t="s">
        <v>406</v>
      </c>
      <c r="C21" s="7"/>
      <c r="D21" s="8"/>
      <c r="E21" s="14"/>
      <c r="F21" s="7"/>
      <c r="G21" s="7"/>
      <c r="H21" s="7"/>
      <c r="I21" s="7"/>
      <c r="J21" s="7"/>
      <c r="K21" s="7"/>
      <c r="L21" s="7"/>
      <c r="M21" s="7"/>
      <c r="N21" s="320"/>
    </row>
    <row r="22" spans="1:14" ht="24.95" customHeight="1">
      <c r="A22" s="321"/>
      <c r="B22" s="7" t="s">
        <v>515</v>
      </c>
      <c r="C22" s="7"/>
      <c r="D22" s="8" t="s">
        <v>22</v>
      </c>
      <c r="E22" s="14">
        <f>물량산출서!E9</f>
        <v>51.83</v>
      </c>
      <c r="F22" s="7">
        <f>일위대가목록!E10</f>
        <v>204.5</v>
      </c>
      <c r="G22" s="7">
        <f t="shared" ref="G22:G26" si="5">F22*E22</f>
        <v>10599.234999999999</v>
      </c>
      <c r="H22" s="7">
        <f>일위대가목록!F10</f>
        <v>5113.7999999999993</v>
      </c>
      <c r="I22" s="7">
        <f>H22*E22</f>
        <v>265048.25399999996</v>
      </c>
      <c r="J22" s="7">
        <f>일위대가목록!G10</f>
        <v>0</v>
      </c>
      <c r="K22" s="7">
        <f t="shared" ref="K22" si="6">J22*E22</f>
        <v>0</v>
      </c>
      <c r="L22" s="7">
        <f>F22+H22+J22</f>
        <v>5318.2999999999993</v>
      </c>
      <c r="M22" s="7">
        <f>L22*E22</f>
        <v>275647.48899999994</v>
      </c>
      <c r="N22" s="320"/>
    </row>
    <row r="23" spans="1:14" ht="24.95" customHeight="1">
      <c r="A23" s="321"/>
      <c r="B23" s="7" t="s">
        <v>514</v>
      </c>
      <c r="C23" s="7"/>
      <c r="D23" s="8" t="s">
        <v>22</v>
      </c>
      <c r="E23" s="14">
        <f>물량산출서!E10</f>
        <v>13.799999999999999</v>
      </c>
      <c r="F23" s="7">
        <f>일위대가목록!E11</f>
        <v>227.8</v>
      </c>
      <c r="G23" s="7">
        <f t="shared" si="5"/>
        <v>3143.64</v>
      </c>
      <c r="H23" s="7">
        <f>일위대가목록!F11</f>
        <v>5697.4</v>
      </c>
      <c r="I23" s="7">
        <f t="shared" ref="I23:I25" si="7">H23*E23</f>
        <v>78624.12</v>
      </c>
      <c r="J23" s="7">
        <f>일위대가목록!G11</f>
        <v>0</v>
      </c>
      <c r="K23" s="7">
        <f t="shared" ref="K23" si="8">J23*E23</f>
        <v>0</v>
      </c>
      <c r="L23" s="7">
        <f t="shared" ref="L23" si="9">F23+H23+J23</f>
        <v>5925.2</v>
      </c>
      <c r="M23" s="7">
        <f t="shared" ref="M23" si="10">L23*E23</f>
        <v>81767.759999999995</v>
      </c>
      <c r="N23" s="320"/>
    </row>
    <row r="24" spans="1:14" ht="24.95" customHeight="1">
      <c r="A24" s="321"/>
      <c r="B24" s="7" t="s">
        <v>516</v>
      </c>
      <c r="C24" s="7"/>
      <c r="D24" s="8" t="s">
        <v>22</v>
      </c>
      <c r="E24" s="14">
        <f>물량산출서!E11</f>
        <v>103.66</v>
      </c>
      <c r="F24" s="7">
        <f>일위대가목록!E12</f>
        <v>181.2</v>
      </c>
      <c r="G24" s="7">
        <f t="shared" si="5"/>
        <v>18783.191999999999</v>
      </c>
      <c r="H24" s="7">
        <f>일위대가목록!F12</f>
        <v>4530.2999999999993</v>
      </c>
      <c r="I24" s="7">
        <f t="shared" si="7"/>
        <v>469610.89799999993</v>
      </c>
      <c r="J24" s="7">
        <f>일위대가목록!G12</f>
        <v>0</v>
      </c>
      <c r="K24" s="7">
        <f t="shared" ref="K24" si="11">J24*E24</f>
        <v>0</v>
      </c>
      <c r="L24" s="7">
        <f t="shared" ref="L24" si="12">F24+H24+J24</f>
        <v>4711.4999999999991</v>
      </c>
      <c r="M24" s="7">
        <f t="shared" ref="M24" si="13">L24*E24</f>
        <v>488394.08999999991</v>
      </c>
      <c r="N24" s="320"/>
    </row>
    <row r="25" spans="1:14" ht="24.95" customHeight="1">
      <c r="A25" s="321"/>
      <c r="B25" s="7" t="s">
        <v>517</v>
      </c>
      <c r="C25" s="7"/>
      <c r="D25" s="8" t="s">
        <v>22</v>
      </c>
      <c r="E25" s="14">
        <f>물량산출서!E12</f>
        <v>13.799999999999999</v>
      </c>
      <c r="F25" s="7">
        <f>일위대가목록!E13</f>
        <v>204.5</v>
      </c>
      <c r="G25" s="7">
        <f t="shared" si="5"/>
        <v>2822.1</v>
      </c>
      <c r="H25" s="7">
        <f>일위대가목록!F13</f>
        <v>5113.7999999999993</v>
      </c>
      <c r="I25" s="7">
        <f t="shared" si="7"/>
        <v>70570.439999999988</v>
      </c>
      <c r="J25" s="7">
        <f>일위대가목록!G13</f>
        <v>0</v>
      </c>
      <c r="K25" s="7">
        <f t="shared" ref="K25" si="14">J25*E25</f>
        <v>0</v>
      </c>
      <c r="L25" s="7">
        <f t="shared" ref="L25" si="15">F25+H25+J25</f>
        <v>5318.2999999999993</v>
      </c>
      <c r="M25" s="7">
        <f t="shared" ref="M25" si="16">L25*E25</f>
        <v>73392.539999999979</v>
      </c>
      <c r="N25" s="320"/>
    </row>
    <row r="26" spans="1:14" ht="24.95" customHeight="1">
      <c r="A26" s="324"/>
      <c r="B26" s="7" t="s">
        <v>647</v>
      </c>
      <c r="C26" s="7"/>
      <c r="D26" s="8" t="s">
        <v>22</v>
      </c>
      <c r="E26" s="14">
        <f>물량산출서!E13</f>
        <v>13.799999999999999</v>
      </c>
      <c r="F26" s="7">
        <f>일위대가목록!E14</f>
        <v>0</v>
      </c>
      <c r="G26" s="7">
        <f t="shared" si="5"/>
        <v>0</v>
      </c>
      <c r="H26" s="7">
        <f>일위대가목록!F14</f>
        <v>1899.1</v>
      </c>
      <c r="I26" s="7">
        <f>H26*E26</f>
        <v>26207.579999999998</v>
      </c>
      <c r="J26" s="7">
        <f>일위대가목록!G14</f>
        <v>0</v>
      </c>
      <c r="K26" s="7">
        <f t="shared" ref="K26" si="17">J26*E26</f>
        <v>0</v>
      </c>
      <c r="L26" s="7">
        <f>F26+H26</f>
        <v>1899.1</v>
      </c>
      <c r="M26" s="7">
        <f>L26*E26</f>
        <v>26207.579999999998</v>
      </c>
      <c r="N26" s="320"/>
    </row>
    <row r="27" spans="1:14" ht="24.95" customHeight="1">
      <c r="A27" s="324"/>
      <c r="B27" s="7"/>
      <c r="C27" s="7"/>
      <c r="D27" s="8"/>
      <c r="E27" s="14"/>
      <c r="F27" s="7"/>
      <c r="G27" s="7"/>
      <c r="H27" s="7"/>
      <c r="I27" s="7"/>
      <c r="J27" s="7"/>
      <c r="K27" s="7"/>
      <c r="L27" s="7"/>
      <c r="M27" s="7"/>
      <c r="N27" s="320"/>
    </row>
    <row r="28" spans="1:14" ht="24.95" customHeight="1">
      <c r="A28" s="325"/>
      <c r="B28" s="1" t="s">
        <v>407</v>
      </c>
      <c r="C28" s="1"/>
      <c r="D28" s="9"/>
      <c r="E28" s="15"/>
      <c r="F28" s="1"/>
      <c r="G28" s="1">
        <f>SUM(G22:G27)</f>
        <v>35348.166999999994</v>
      </c>
      <c r="H28" s="1"/>
      <c r="I28" s="1">
        <f>SUM(I22:I27)</f>
        <v>910061.29199999978</v>
      </c>
      <c r="J28" s="1"/>
      <c r="K28" s="1">
        <f>SUM(K22:K27)</f>
        <v>0</v>
      </c>
      <c r="L28" s="1"/>
      <c r="M28" s="1">
        <f>SUM(M22:M27)</f>
        <v>945409.45899999992</v>
      </c>
      <c r="N28" s="326"/>
    </row>
    <row r="29" spans="1:14" ht="24.95" customHeight="1">
      <c r="A29" s="321" t="s">
        <v>474</v>
      </c>
      <c r="B29" s="7" t="s">
        <v>222</v>
      </c>
      <c r="C29" s="20"/>
      <c r="D29" s="19"/>
      <c r="E29" s="18"/>
      <c r="F29" s="20"/>
      <c r="G29" s="20"/>
      <c r="H29" s="20"/>
      <c r="I29" s="20"/>
      <c r="J29" s="20"/>
      <c r="K29" s="20"/>
      <c r="L29" s="20"/>
      <c r="M29" s="20"/>
      <c r="N29" s="327"/>
    </row>
    <row r="30" spans="1:14" ht="24.95" customHeight="1">
      <c r="A30" s="321"/>
      <c r="B30" s="7" t="s">
        <v>456</v>
      </c>
      <c r="C30" s="20" t="s">
        <v>518</v>
      </c>
      <c r="D30" s="8" t="s">
        <v>22</v>
      </c>
      <c r="E30" s="18">
        <f>물량산출서!E17</f>
        <v>14.4</v>
      </c>
      <c r="F30" s="20">
        <f>일위대가목록!E17</f>
        <v>40674.299999999996</v>
      </c>
      <c r="G30" s="7">
        <f t="shared" ref="G30:G31" si="18">F30*E30</f>
        <v>585709.91999999993</v>
      </c>
      <c r="H30" s="20">
        <f>일위대가목록!F17</f>
        <v>30555.3</v>
      </c>
      <c r="I30" s="296">
        <f t="shared" ref="I30:I31" si="19">H30*E30</f>
        <v>439996.32</v>
      </c>
      <c r="J30" s="20">
        <f>일위대가목록!G17</f>
        <v>0</v>
      </c>
      <c r="K30" s="7">
        <f>J30*E30</f>
        <v>0</v>
      </c>
      <c r="L30" s="7">
        <f t="shared" ref="L30" si="20">F30+H30</f>
        <v>71229.599999999991</v>
      </c>
      <c r="M30" s="7">
        <f t="shared" ref="M30" si="21">L30*E30</f>
        <v>1025706.2399999999</v>
      </c>
      <c r="N30" s="327"/>
    </row>
    <row r="31" spans="1:14" ht="24.95" customHeight="1">
      <c r="A31" s="321"/>
      <c r="B31" s="7" t="s">
        <v>454</v>
      </c>
      <c r="C31" s="20" t="s">
        <v>632</v>
      </c>
      <c r="D31" s="8" t="s">
        <v>176</v>
      </c>
      <c r="E31" s="18">
        <f>물량산출서!E18</f>
        <v>53.875</v>
      </c>
      <c r="F31" s="20">
        <f>일위대가목록!E18</f>
        <v>6114.7</v>
      </c>
      <c r="G31" s="7">
        <f t="shared" si="18"/>
        <v>329429.46249999997</v>
      </c>
      <c r="H31" s="20">
        <f>일위대가목록!F18</f>
        <v>16462.2</v>
      </c>
      <c r="I31" s="296">
        <f t="shared" si="19"/>
        <v>886901.02500000002</v>
      </c>
      <c r="J31" s="20">
        <f>일위대가목록!G18</f>
        <v>0</v>
      </c>
      <c r="K31" s="7">
        <f>J31*E31</f>
        <v>0</v>
      </c>
      <c r="L31" s="7">
        <f t="shared" ref="L31" si="22">F31+H31</f>
        <v>22576.9</v>
      </c>
      <c r="M31" s="7">
        <f t="shared" ref="M31" si="23">L31*E31</f>
        <v>1216330.4875</v>
      </c>
      <c r="N31" s="327"/>
    </row>
    <row r="32" spans="1:14" ht="24.95" customHeight="1">
      <c r="A32" s="328"/>
      <c r="B32" s="20"/>
      <c r="C32" s="20"/>
      <c r="D32" s="19"/>
      <c r="E32" s="18"/>
      <c r="F32" s="20"/>
      <c r="G32" s="20"/>
      <c r="H32" s="20"/>
      <c r="I32" s="20"/>
      <c r="J32" s="20"/>
      <c r="K32" s="20"/>
      <c r="L32" s="20"/>
      <c r="M32" s="20"/>
      <c r="N32" s="327"/>
    </row>
    <row r="33" spans="1:14" ht="24.95" customHeight="1">
      <c r="A33" s="325"/>
      <c r="B33" s="1" t="s">
        <v>476</v>
      </c>
      <c r="C33" s="1"/>
      <c r="D33" s="9"/>
      <c r="E33" s="15"/>
      <c r="F33" s="1"/>
      <c r="G33" s="1">
        <f>SUM(G29:G32)</f>
        <v>915139.38249999983</v>
      </c>
      <c r="H33" s="1"/>
      <c r="I33" s="1">
        <f>SUM(I29:I32)</f>
        <v>1326897.345</v>
      </c>
      <c r="J33" s="1"/>
      <c r="K33" s="1">
        <f>SUM(K29:K32)</f>
        <v>0</v>
      </c>
      <c r="L33" s="1"/>
      <c r="M33" s="1">
        <f>SUM(M29:M32)</f>
        <v>2242036.7275</v>
      </c>
      <c r="N33" s="326"/>
    </row>
    <row r="34" spans="1:14" ht="24.95" customHeight="1">
      <c r="A34" s="321" t="s">
        <v>475</v>
      </c>
      <c r="B34" s="7" t="s">
        <v>477</v>
      </c>
      <c r="C34" s="7"/>
      <c r="D34" s="8"/>
      <c r="E34" s="14"/>
      <c r="F34" s="7"/>
      <c r="G34" s="7"/>
      <c r="H34" s="7"/>
      <c r="I34" s="7"/>
      <c r="J34" s="7"/>
      <c r="K34" s="7"/>
      <c r="L34" s="7"/>
      <c r="M34" s="7"/>
      <c r="N34" s="320"/>
    </row>
    <row r="35" spans="1:14" ht="24.95" customHeight="1">
      <c r="A35" s="321"/>
      <c r="B35" s="7" t="s">
        <v>624</v>
      </c>
      <c r="C35" s="7"/>
      <c r="D35" s="8" t="s">
        <v>22</v>
      </c>
      <c r="E35" s="14">
        <f>물량산출서!E21</f>
        <v>54.959999999999994</v>
      </c>
      <c r="F35" s="7">
        <f>일위대가목록!E21</f>
        <v>14063.6</v>
      </c>
      <c r="G35" s="7">
        <f t="shared" ref="G35:G38" si="24">F35*E35</f>
        <v>772935.45599999989</v>
      </c>
      <c r="H35" s="7">
        <f>일위대가목록!F21</f>
        <v>14498.599999999999</v>
      </c>
      <c r="I35" s="296">
        <f>H35*E35</f>
        <v>796843.05599999987</v>
      </c>
      <c r="J35" s="7">
        <f>일위대가목록!G21</f>
        <v>0</v>
      </c>
      <c r="K35" s="7">
        <f>J35*E35</f>
        <v>0</v>
      </c>
      <c r="L35" s="7">
        <f t="shared" ref="L35" si="25">F35+H35</f>
        <v>28562.199999999997</v>
      </c>
      <c r="M35" s="7">
        <f t="shared" ref="M35" si="26">L35*E35</f>
        <v>1569778.5119999996</v>
      </c>
      <c r="N35" s="320"/>
    </row>
    <row r="36" spans="1:14" ht="24.95" customHeight="1">
      <c r="A36" s="321"/>
      <c r="B36" s="7" t="s">
        <v>628</v>
      </c>
      <c r="C36" s="7" t="s">
        <v>629</v>
      </c>
      <c r="D36" s="8" t="s">
        <v>22</v>
      </c>
      <c r="E36" s="14">
        <f>물량산출서!E22</f>
        <v>13.799999999999999</v>
      </c>
      <c r="F36" s="7">
        <f>일위대가목록!E22</f>
        <v>9007.3000000000011</v>
      </c>
      <c r="G36" s="7">
        <f t="shared" si="24"/>
        <v>124300.74</v>
      </c>
      <c r="H36" s="7">
        <f>일위대가목록!F22</f>
        <v>12360.9</v>
      </c>
      <c r="I36" s="296">
        <f>H36*E36</f>
        <v>170580.41999999998</v>
      </c>
      <c r="J36" s="7">
        <f>일위대가목록!G22</f>
        <v>0</v>
      </c>
      <c r="K36" s="7">
        <f>J36*E36</f>
        <v>0</v>
      </c>
      <c r="L36" s="7">
        <f t="shared" ref="L36" si="27">F36+H36</f>
        <v>21368.2</v>
      </c>
      <c r="M36" s="7">
        <f t="shared" ref="M36" si="28">L36*E36</f>
        <v>294881.15999999997</v>
      </c>
      <c r="N36" s="320"/>
    </row>
    <row r="37" spans="1:14" ht="24.95" customHeight="1">
      <c r="A37" s="321"/>
      <c r="B37" s="7" t="s">
        <v>523</v>
      </c>
      <c r="C37" s="7"/>
      <c r="D37" s="8" t="s">
        <v>22</v>
      </c>
      <c r="E37" s="14">
        <f>물량산출서!E23</f>
        <v>14.4</v>
      </c>
      <c r="F37" s="7">
        <f>일위대가목록!E23</f>
        <v>5955.4000000000005</v>
      </c>
      <c r="G37" s="7">
        <f t="shared" si="24"/>
        <v>85757.760000000009</v>
      </c>
      <c r="H37" s="7">
        <f>일위대가목록!F23</f>
        <v>24943.800000000003</v>
      </c>
      <c r="I37" s="296">
        <f>H37*E37</f>
        <v>359190.72000000003</v>
      </c>
      <c r="J37" s="7">
        <f>일위대가목록!G23</f>
        <v>0</v>
      </c>
      <c r="K37" s="7">
        <f>J37*E37</f>
        <v>0</v>
      </c>
      <c r="L37" s="7">
        <f t="shared" ref="L37" si="29">F37+H37</f>
        <v>30899.200000000004</v>
      </c>
      <c r="M37" s="7">
        <f t="shared" ref="M37" si="30">L37*E37</f>
        <v>444948.4800000001</v>
      </c>
      <c r="N37" s="320"/>
    </row>
    <row r="38" spans="1:14" ht="24.95" customHeight="1">
      <c r="A38" s="321"/>
      <c r="B38" s="7" t="s">
        <v>525</v>
      </c>
      <c r="C38" s="7"/>
      <c r="D38" s="8" t="s">
        <v>22</v>
      </c>
      <c r="E38" s="14">
        <f>물량산출서!E24</f>
        <v>250.84799999999998</v>
      </c>
      <c r="F38" s="7">
        <f>일위대가목록!E24</f>
        <v>6321.2000000000007</v>
      </c>
      <c r="G38" s="7">
        <f t="shared" si="24"/>
        <v>1585660.3776</v>
      </c>
      <c r="H38" s="7">
        <f>일위대가목록!F24</f>
        <v>16912.2</v>
      </c>
      <c r="I38" s="296">
        <f>H38*E38</f>
        <v>4242391.5455999998</v>
      </c>
      <c r="J38" s="7">
        <f>일위대가목록!G24</f>
        <v>0</v>
      </c>
      <c r="K38" s="7">
        <f>J38*E38</f>
        <v>0</v>
      </c>
      <c r="L38" s="7">
        <f t="shared" ref="L38" si="31">F38+H38</f>
        <v>23233.4</v>
      </c>
      <c r="M38" s="7">
        <f t="shared" ref="M38" si="32">L38*E38</f>
        <v>5828051.9232000001</v>
      </c>
      <c r="N38" s="320"/>
    </row>
    <row r="39" spans="1:14" ht="24.95" customHeight="1">
      <c r="A39" s="321"/>
      <c r="B39" s="7" t="s">
        <v>478</v>
      </c>
      <c r="C39" s="7"/>
      <c r="D39" s="8" t="s">
        <v>22</v>
      </c>
      <c r="E39" s="14">
        <f>물량산출서!E25</f>
        <v>112.64000000000001</v>
      </c>
      <c r="F39" s="7">
        <f>일위대가목록!E25</f>
        <v>665.3</v>
      </c>
      <c r="G39" s="7">
        <f t="shared" ref="G39:G41" si="33">F39*E39</f>
        <v>74939.392000000007</v>
      </c>
      <c r="H39" s="7">
        <f>일위대가목록!F25</f>
        <v>3490.7</v>
      </c>
      <c r="I39" s="7">
        <f t="shared" ref="I39" si="34">H39*E39</f>
        <v>393192.44800000003</v>
      </c>
      <c r="J39" s="7">
        <f>일위대가목록!G25</f>
        <v>0</v>
      </c>
      <c r="K39" s="7">
        <f t="shared" ref="K39" si="35">J39*E39</f>
        <v>0</v>
      </c>
      <c r="L39" s="7">
        <f t="shared" ref="L39" si="36">F39+H39</f>
        <v>4156</v>
      </c>
      <c r="M39" s="7">
        <f t="shared" ref="M39" si="37">L39*E39</f>
        <v>468131.84000000008</v>
      </c>
      <c r="N39" s="320"/>
    </row>
    <row r="40" spans="1:14" ht="24.95" customHeight="1">
      <c r="A40" s="321"/>
      <c r="B40" s="7" t="s">
        <v>496</v>
      </c>
      <c r="C40" s="7"/>
      <c r="D40" s="8" t="s">
        <v>22</v>
      </c>
      <c r="E40" s="14">
        <f>물량산출서!E26</f>
        <v>53.875</v>
      </c>
      <c r="F40" s="7">
        <f>단가대비표!L54</f>
        <v>30000</v>
      </c>
      <c r="G40" s="7">
        <f t="shared" si="33"/>
        <v>1616250</v>
      </c>
      <c r="H40" s="7">
        <v>0</v>
      </c>
      <c r="I40" s="7">
        <f t="shared" ref="I40:I41" si="38">H40*E40</f>
        <v>0</v>
      </c>
      <c r="J40" s="7">
        <f>일위대가목록!G28</f>
        <v>0</v>
      </c>
      <c r="K40" s="7">
        <f t="shared" ref="K40" si="39">J40*E40</f>
        <v>0</v>
      </c>
      <c r="L40" s="7">
        <f t="shared" ref="L40" si="40">F40+H40</f>
        <v>30000</v>
      </c>
      <c r="M40" s="7">
        <f t="shared" ref="M40" si="41">L40*E40</f>
        <v>1616250</v>
      </c>
      <c r="N40" s="320"/>
    </row>
    <row r="41" spans="1:14" ht="24.95" customHeight="1">
      <c r="A41" s="321"/>
      <c r="B41" s="7" t="s">
        <v>528</v>
      </c>
      <c r="C41" s="7"/>
      <c r="D41" s="8" t="s">
        <v>22</v>
      </c>
      <c r="E41" s="14">
        <f>물량산출서!E27</f>
        <v>80.725000000000009</v>
      </c>
      <c r="F41" s="7">
        <f>일위대가목록!E26</f>
        <v>5264.2</v>
      </c>
      <c r="G41" s="7">
        <f t="shared" si="33"/>
        <v>424952.54500000004</v>
      </c>
      <c r="H41" s="7">
        <f>일위대가목록!F26</f>
        <v>5814.4</v>
      </c>
      <c r="I41" s="7">
        <f t="shared" si="38"/>
        <v>469367.44</v>
      </c>
      <c r="J41" s="7">
        <f>일위대가목록!G26</f>
        <v>0</v>
      </c>
      <c r="K41" s="7">
        <f t="shared" ref="K41" si="42">J41*E41</f>
        <v>0</v>
      </c>
      <c r="L41" s="7">
        <f t="shared" ref="L41" si="43">F41+H41</f>
        <v>11078.599999999999</v>
      </c>
      <c r="M41" s="7">
        <f t="shared" ref="M41" si="44">L41*E41</f>
        <v>894319.98499999999</v>
      </c>
      <c r="N41" s="320"/>
    </row>
    <row r="42" spans="1:14" ht="24.95" customHeight="1">
      <c r="A42" s="321"/>
      <c r="B42" s="7"/>
      <c r="C42" s="7"/>
      <c r="D42" s="8"/>
      <c r="E42" s="14"/>
      <c r="F42" s="7"/>
      <c r="G42" s="7"/>
      <c r="H42" s="7"/>
      <c r="I42" s="7"/>
      <c r="J42" s="7"/>
      <c r="K42" s="7"/>
      <c r="L42" s="7"/>
      <c r="M42" s="7"/>
      <c r="N42" s="320"/>
    </row>
    <row r="43" spans="1:14" ht="24.95" customHeight="1">
      <c r="A43" s="325"/>
      <c r="B43" s="1" t="s">
        <v>490</v>
      </c>
      <c r="C43" s="1"/>
      <c r="D43" s="9"/>
      <c r="E43" s="15"/>
      <c r="F43" s="1"/>
      <c r="G43" s="1">
        <f>SUM(G34:G42)</f>
        <v>4684796.2706000004</v>
      </c>
      <c r="H43" s="1"/>
      <c r="I43" s="1">
        <f>SUM(I34:I42)</f>
        <v>6431565.6295999996</v>
      </c>
      <c r="J43" s="1"/>
      <c r="K43" s="1">
        <f>SUM(K34:K42)</f>
        <v>0</v>
      </c>
      <c r="L43" s="1"/>
      <c r="M43" s="1">
        <f>SUM(M34:M42)</f>
        <v>11116361.9002</v>
      </c>
      <c r="N43" s="326"/>
    </row>
    <row r="44" spans="1:14" ht="24.95" customHeight="1">
      <c r="A44" s="321" t="s">
        <v>415</v>
      </c>
      <c r="B44" s="7" t="s">
        <v>215</v>
      </c>
      <c r="C44" s="7"/>
      <c r="D44" s="8"/>
      <c r="E44" s="14"/>
      <c r="F44" s="7"/>
      <c r="G44" s="7"/>
      <c r="H44" s="7"/>
      <c r="I44" s="7"/>
      <c r="J44" s="7"/>
      <c r="K44" s="329"/>
      <c r="L44" s="20"/>
      <c r="M44" s="7"/>
      <c r="N44" s="320"/>
    </row>
    <row r="45" spans="1:14" ht="24.95" customHeight="1">
      <c r="A45" s="321"/>
      <c r="B45" s="7" t="s">
        <v>416</v>
      </c>
      <c r="C45" s="7" t="s">
        <v>430</v>
      </c>
      <c r="D45" s="8" t="s">
        <v>268</v>
      </c>
      <c r="E45" s="14">
        <f>물량산출서!E30</f>
        <v>14.25</v>
      </c>
      <c r="F45" s="7">
        <f>일위대가목록!E33</f>
        <v>9506.1741750399979</v>
      </c>
      <c r="G45" s="7">
        <f>F45*E45</f>
        <v>135462.98199431997</v>
      </c>
      <c r="H45" s="7">
        <f>일위대가목록!F33</f>
        <v>18920.338621599996</v>
      </c>
      <c r="I45" s="7">
        <f>H45*E45</f>
        <v>269614.82535779994</v>
      </c>
      <c r="J45" s="7">
        <f>일위대가목록!G33</f>
        <v>0</v>
      </c>
      <c r="K45" s="7">
        <f t="shared" ref="K45" si="45">J45*E45</f>
        <v>0</v>
      </c>
      <c r="L45" s="7">
        <f t="shared" ref="L45" si="46">F45+H45</f>
        <v>28426.512796639996</v>
      </c>
      <c r="M45" s="7">
        <f t="shared" ref="M45" si="47">L45*E45</f>
        <v>405077.80735211994</v>
      </c>
      <c r="N45" s="320"/>
    </row>
    <row r="46" spans="1:14" ht="24.95" customHeight="1">
      <c r="A46" s="321"/>
      <c r="B46" s="7" t="s">
        <v>663</v>
      </c>
      <c r="C46" s="7" t="s">
        <v>664</v>
      </c>
      <c r="D46" s="8" t="s">
        <v>195</v>
      </c>
      <c r="E46" s="14">
        <f>물량산출서!E31</f>
        <v>38.319999999999993</v>
      </c>
      <c r="F46" s="7">
        <f>일위대가목록!E34</f>
        <v>7042.9593975466651</v>
      </c>
      <c r="G46" s="7">
        <f>F46*E46</f>
        <v>269886.20411398815</v>
      </c>
      <c r="H46" s="7">
        <f>일위대가목록!F34</f>
        <v>17464.927958399996</v>
      </c>
      <c r="I46" s="7">
        <f>H46*E46</f>
        <v>669256.03936588776</v>
      </c>
      <c r="J46" s="7">
        <f>일위대가목록!G34</f>
        <v>0</v>
      </c>
      <c r="K46" s="7">
        <f t="shared" ref="K46" si="48">J46*E46</f>
        <v>0</v>
      </c>
      <c r="L46" s="7">
        <f t="shared" ref="L46" si="49">F46+H46</f>
        <v>24507.887355946659</v>
      </c>
      <c r="M46" s="7">
        <f t="shared" ref="M46:M47" si="50">L46*E46</f>
        <v>939142.24347987585</v>
      </c>
      <c r="N46" s="320"/>
    </row>
    <row r="47" spans="1:14" ht="24.95" customHeight="1">
      <c r="A47" s="321"/>
      <c r="B47" s="7" t="s">
        <v>663</v>
      </c>
      <c r="C47" s="7" t="s">
        <v>665</v>
      </c>
      <c r="D47" s="8" t="s">
        <v>195</v>
      </c>
      <c r="E47" s="14">
        <f>물량산출서!E32</f>
        <v>27.46</v>
      </c>
      <c r="F47" s="7">
        <f>일위대가목록!E35</f>
        <v>5132.2038419911105</v>
      </c>
      <c r="G47" s="7">
        <f>F47*E47</f>
        <v>140930.31750107589</v>
      </c>
      <c r="H47" s="7">
        <f>일위대가목록!F35</f>
        <v>17464.927958399996</v>
      </c>
      <c r="I47" s="7">
        <f>H47*E47</f>
        <v>479586.92173766391</v>
      </c>
      <c r="J47" s="7">
        <f>일위대가목록!G35</f>
        <v>0</v>
      </c>
      <c r="K47" s="7">
        <f t="shared" ref="K47" si="51">J47*E47</f>
        <v>0</v>
      </c>
      <c r="L47" s="7">
        <f t="shared" ref="L47" si="52">F47+H47</f>
        <v>22597.131800391107</v>
      </c>
      <c r="M47" s="7">
        <f t="shared" si="50"/>
        <v>620517.23923873983</v>
      </c>
      <c r="N47" s="320"/>
    </row>
    <row r="48" spans="1:14" ht="24.95" customHeight="1">
      <c r="A48" s="321"/>
      <c r="B48" s="7" t="s">
        <v>538</v>
      </c>
      <c r="C48" s="7"/>
      <c r="D48" s="8" t="s">
        <v>22</v>
      </c>
      <c r="E48" s="14">
        <f>물량산출서!E33</f>
        <v>139.86899999999997</v>
      </c>
      <c r="F48" s="7">
        <f>일위대가목록!E36</f>
        <v>9432.5</v>
      </c>
      <c r="G48" s="7">
        <f>F48*E48</f>
        <v>1319314.3424999998</v>
      </c>
      <c r="H48" s="7">
        <f>일위대가목록!F36</f>
        <v>8859.6860000000015</v>
      </c>
      <c r="I48" s="7">
        <f>H48*E48</f>
        <v>1239195.4211339999</v>
      </c>
      <c r="J48" s="7">
        <f>일위대가목록!G36</f>
        <v>0</v>
      </c>
      <c r="K48" s="7">
        <f t="shared" ref="K48" si="53">J48*E48</f>
        <v>0</v>
      </c>
      <c r="L48" s="7">
        <f t="shared" ref="L48" si="54">F48+H48</f>
        <v>18292.186000000002</v>
      </c>
      <c r="M48" s="7">
        <f t="shared" ref="M48" si="55">L48*E48</f>
        <v>2558509.7636339995</v>
      </c>
      <c r="N48" s="320"/>
    </row>
    <row r="49" spans="1:14" ht="24.95" customHeight="1">
      <c r="A49" s="321"/>
      <c r="B49" s="7"/>
      <c r="C49" s="7"/>
      <c r="D49" s="8"/>
      <c r="E49" s="14"/>
      <c r="F49" s="7"/>
      <c r="G49" s="7"/>
      <c r="H49" s="7"/>
      <c r="I49" s="7"/>
      <c r="J49" s="7"/>
      <c r="K49" s="7"/>
      <c r="L49" s="7"/>
      <c r="M49" s="7"/>
      <c r="N49" s="320"/>
    </row>
    <row r="50" spans="1:14" ht="24.95" customHeight="1">
      <c r="A50" s="325"/>
      <c r="B50" s="1" t="s">
        <v>426</v>
      </c>
      <c r="C50" s="1"/>
      <c r="D50" s="9"/>
      <c r="E50" s="15"/>
      <c r="F50" s="1"/>
      <c r="G50" s="1">
        <f>SUM(G44:G49)</f>
        <v>1865593.8461093837</v>
      </c>
      <c r="H50" s="1"/>
      <c r="I50" s="1">
        <f>SUM(I44:I49)</f>
        <v>2657653.2075953516</v>
      </c>
      <c r="J50" s="1"/>
      <c r="K50" s="1">
        <f>SUM(K44:K49)</f>
        <v>0</v>
      </c>
      <c r="L50" s="1"/>
      <c r="M50" s="1">
        <f>SUM(M44:M49)</f>
        <v>4523247.0537047349</v>
      </c>
      <c r="N50" s="326"/>
    </row>
    <row r="51" spans="1:14" ht="24.95" customHeight="1">
      <c r="A51" s="321" t="s">
        <v>480</v>
      </c>
      <c r="B51" s="7" t="s">
        <v>481</v>
      </c>
      <c r="C51" s="7"/>
      <c r="D51" s="8"/>
      <c r="E51" s="14"/>
      <c r="F51" s="7"/>
      <c r="G51" s="7"/>
      <c r="H51" s="7"/>
      <c r="I51" s="7"/>
      <c r="J51" s="7"/>
      <c r="K51" s="7"/>
      <c r="L51" s="7"/>
      <c r="M51" s="7"/>
      <c r="N51" s="320"/>
    </row>
    <row r="52" spans="1:14" ht="24.95" customHeight="1">
      <c r="A52" s="321"/>
      <c r="B52" s="7" t="s">
        <v>549</v>
      </c>
      <c r="C52" s="7" t="s">
        <v>550</v>
      </c>
      <c r="D52" s="8" t="s">
        <v>551</v>
      </c>
      <c r="E52" s="14">
        <f>물량산출서!E36</f>
        <v>3</v>
      </c>
      <c r="F52" s="7">
        <f>일위대가목록!E39</f>
        <v>286594.7</v>
      </c>
      <c r="G52" s="7">
        <f t="shared" ref="G52:G53" si="56">F52*E52</f>
        <v>859784.10000000009</v>
      </c>
      <c r="H52" s="7">
        <f>일위대가목록!F39</f>
        <v>79735.58</v>
      </c>
      <c r="I52" s="7">
        <f>H52*E52</f>
        <v>239206.74</v>
      </c>
      <c r="J52" s="7">
        <f>일위대가목록!G39</f>
        <v>0</v>
      </c>
      <c r="K52" s="7">
        <f>J52*E52</f>
        <v>0</v>
      </c>
      <c r="L52" s="7">
        <f t="shared" ref="L52" si="57">F52+H52</f>
        <v>366330.28</v>
      </c>
      <c r="M52" s="7">
        <f t="shared" ref="M52" si="58">L52*E52</f>
        <v>1098990.8400000001</v>
      </c>
      <c r="N52" s="320"/>
    </row>
    <row r="53" spans="1:14" ht="24.95" customHeight="1">
      <c r="A53" s="321"/>
      <c r="B53" s="7" t="s">
        <v>602</v>
      </c>
      <c r="C53" s="7"/>
      <c r="D53" s="8" t="s">
        <v>551</v>
      </c>
      <c r="E53" s="14">
        <v>1</v>
      </c>
      <c r="F53" s="7">
        <f>일위대가목록!E40</f>
        <v>42039.115599999997</v>
      </c>
      <c r="G53" s="7">
        <f t="shared" si="56"/>
        <v>42039.115599999997</v>
      </c>
      <c r="H53" s="7">
        <f>일위대가목록!F40</f>
        <v>6955.78</v>
      </c>
      <c r="I53" s="7">
        <f>H53*E53</f>
        <v>6955.78</v>
      </c>
      <c r="J53" s="7">
        <f>일위대가목록!G40</f>
        <v>0</v>
      </c>
      <c r="K53" s="7">
        <f>J53*E53</f>
        <v>0</v>
      </c>
      <c r="L53" s="7">
        <f t="shared" ref="L53" si="59">F53+H53</f>
        <v>48994.895599999996</v>
      </c>
      <c r="M53" s="7">
        <f t="shared" ref="M53" si="60">L53*E53</f>
        <v>48994.895599999996</v>
      </c>
      <c r="N53" s="320"/>
    </row>
    <row r="54" spans="1:14" ht="24.95" customHeight="1">
      <c r="A54" s="321"/>
      <c r="B54" s="7" t="s">
        <v>566</v>
      </c>
      <c r="C54" s="7"/>
      <c r="D54" s="8" t="s">
        <v>482</v>
      </c>
      <c r="E54" s="14">
        <f>물량산출서!E38</f>
        <v>11.2</v>
      </c>
      <c r="F54" s="7">
        <f>일위대가목록!E41</f>
        <v>7620</v>
      </c>
      <c r="G54" s="7">
        <f>F54*E54</f>
        <v>85344</v>
      </c>
      <c r="H54" s="7">
        <f>일위대가목록!F41</f>
        <v>29979.385999999999</v>
      </c>
      <c r="I54" s="7">
        <f>H54*E54</f>
        <v>335769.12319999997</v>
      </c>
      <c r="J54" s="7">
        <f>일위대가목록!G41</f>
        <v>0</v>
      </c>
      <c r="K54" s="7">
        <f t="shared" ref="K54" si="61">J54*E54</f>
        <v>0</v>
      </c>
      <c r="L54" s="7">
        <f t="shared" ref="L54" si="62">F54+H54</f>
        <v>37599.385999999999</v>
      </c>
      <c r="M54" s="7">
        <f t="shared" ref="M54" si="63">L54*E54</f>
        <v>421113.12319999997</v>
      </c>
      <c r="N54" s="320"/>
    </row>
    <row r="55" spans="1:14" ht="24.95" customHeight="1">
      <c r="A55" s="321"/>
      <c r="B55" s="7" t="s">
        <v>649</v>
      </c>
      <c r="C55" s="7"/>
      <c r="D55" s="8" t="s">
        <v>177</v>
      </c>
      <c r="E55" s="14">
        <f>물량산출서!E39</f>
        <v>12.156000000000001</v>
      </c>
      <c r="F55" s="7">
        <f>일위대가!F195</f>
        <v>64000</v>
      </c>
      <c r="G55" s="7">
        <f>F55*E55</f>
        <v>777984</v>
      </c>
      <c r="H55" s="7">
        <f>일위대가!H195</f>
        <v>20307.577000000001</v>
      </c>
      <c r="I55" s="7">
        <f>H55*E55</f>
        <v>246858.90601200002</v>
      </c>
      <c r="J55" s="7">
        <f>일위대가!J195</f>
        <v>0</v>
      </c>
      <c r="K55" s="7">
        <f t="shared" ref="K55" si="64">J55*E55</f>
        <v>0</v>
      </c>
      <c r="L55" s="7">
        <f t="shared" ref="L55" si="65">F55+H55</f>
        <v>84307.577000000005</v>
      </c>
      <c r="M55" s="7">
        <f t="shared" ref="M55" si="66">L55*E55</f>
        <v>1024842.9060120001</v>
      </c>
      <c r="N55" s="320"/>
    </row>
    <row r="56" spans="1:14" ht="24.95" customHeight="1">
      <c r="A56" s="321"/>
      <c r="B56" s="7" t="s">
        <v>469</v>
      </c>
      <c r="C56" s="7"/>
      <c r="D56" s="8" t="s">
        <v>483</v>
      </c>
      <c r="E56" s="14">
        <f>물량산출서!E40</f>
        <v>45.599999999999994</v>
      </c>
      <c r="F56" s="7">
        <f>일위대가목록!E43</f>
        <v>154</v>
      </c>
      <c r="G56" s="7">
        <f>F56*E56</f>
        <v>7022.3999999999987</v>
      </c>
      <c r="H56" s="7">
        <f>일위대가목록!F43</f>
        <v>3802.7049999999999</v>
      </c>
      <c r="I56" s="7">
        <f>H56*E56</f>
        <v>173403.34799999997</v>
      </c>
      <c r="J56" s="7">
        <f>일위대가목록!G43</f>
        <v>0</v>
      </c>
      <c r="K56" s="7">
        <f t="shared" ref="K56" si="67">J56*E56</f>
        <v>0</v>
      </c>
      <c r="L56" s="7">
        <f t="shared" ref="L56" si="68">F56+H56</f>
        <v>3956.7049999999999</v>
      </c>
      <c r="M56" s="7">
        <f t="shared" ref="M56" si="69">L56*E56</f>
        <v>180425.74799999996</v>
      </c>
      <c r="N56" s="320"/>
    </row>
    <row r="57" spans="1:14" ht="24.95" customHeight="1">
      <c r="A57" s="321"/>
      <c r="B57" s="7"/>
      <c r="C57" s="7"/>
      <c r="D57" s="8"/>
      <c r="E57" s="14"/>
      <c r="F57" s="7"/>
      <c r="G57" s="7"/>
      <c r="H57" s="7"/>
      <c r="I57" s="7"/>
      <c r="J57" s="7"/>
      <c r="K57" s="7"/>
      <c r="L57" s="7"/>
      <c r="M57" s="7"/>
      <c r="N57" s="320"/>
    </row>
    <row r="58" spans="1:14" ht="24.95" customHeight="1">
      <c r="A58" s="325"/>
      <c r="B58" s="1" t="s">
        <v>489</v>
      </c>
      <c r="C58" s="1"/>
      <c r="D58" s="9"/>
      <c r="E58" s="15"/>
      <c r="F58" s="1"/>
      <c r="G58" s="1">
        <f>SUM(G51:G57)</f>
        <v>1772173.6156000001</v>
      </c>
      <c r="H58" s="1"/>
      <c r="I58" s="1">
        <f>SUM(I51:I57)</f>
        <v>1002193.897212</v>
      </c>
      <c r="J58" s="1"/>
      <c r="K58" s="1">
        <f>SUM(K51:K57)</f>
        <v>0</v>
      </c>
      <c r="L58" s="1"/>
      <c r="M58" s="1">
        <f>SUM(M51:M57)</f>
        <v>2774367.5128120002</v>
      </c>
      <c r="N58" s="326"/>
    </row>
    <row r="59" spans="1:14" ht="24.95" customHeight="1">
      <c r="A59" s="321" t="s">
        <v>485</v>
      </c>
      <c r="B59" s="7" t="s">
        <v>292</v>
      </c>
      <c r="C59" s="20"/>
      <c r="D59" s="19"/>
      <c r="E59" s="18"/>
      <c r="F59" s="20"/>
      <c r="G59" s="20"/>
      <c r="H59" s="20"/>
      <c r="I59" s="20"/>
      <c r="J59" s="20"/>
      <c r="K59" s="20"/>
      <c r="L59" s="20"/>
      <c r="M59" s="20"/>
      <c r="N59" s="327"/>
    </row>
    <row r="60" spans="1:14" ht="24.95" customHeight="1">
      <c r="A60" s="321"/>
      <c r="B60" s="7" t="s">
        <v>294</v>
      </c>
      <c r="C60" s="7" t="s">
        <v>479</v>
      </c>
      <c r="D60" s="8" t="s">
        <v>176</v>
      </c>
      <c r="E60" s="14">
        <f>물량산출서!E43</f>
        <v>208.37300000000002</v>
      </c>
      <c r="F60" s="7">
        <f>일위대가목록!E46</f>
        <v>2092.7801422222224</v>
      </c>
      <c r="G60" s="7">
        <f t="shared" ref="G60:G63" si="70">F60*E60</f>
        <v>436078.87657527119</v>
      </c>
      <c r="H60" s="7">
        <f>일위대가목록!F46</f>
        <v>17805.198</v>
      </c>
      <c r="I60" s="7">
        <f t="shared" ref="I60:I63" si="71">H60*E60</f>
        <v>3710122.5228540003</v>
      </c>
      <c r="J60" s="7">
        <f>일위대가목록!G46</f>
        <v>0</v>
      </c>
      <c r="K60" s="7">
        <f>J60*E60</f>
        <v>0</v>
      </c>
      <c r="L60" s="7">
        <f t="shared" ref="L60:L63" si="72">F60+H60</f>
        <v>19897.978142222222</v>
      </c>
      <c r="M60" s="7">
        <f t="shared" ref="M60:M63" si="73">L60*E60</f>
        <v>4146201.3994292715</v>
      </c>
      <c r="N60" s="320"/>
    </row>
    <row r="61" spans="1:14" ht="24.95" customHeight="1">
      <c r="A61" s="321"/>
      <c r="B61" s="7" t="s">
        <v>295</v>
      </c>
      <c r="C61" s="7" t="s">
        <v>479</v>
      </c>
      <c r="D61" s="8" t="s">
        <v>176</v>
      </c>
      <c r="E61" s="14">
        <f>물량산출서!E44</f>
        <v>193.97300000000001</v>
      </c>
      <c r="F61" s="7">
        <f>일위대가목록!E47</f>
        <v>2182.5985066666667</v>
      </c>
      <c r="G61" s="7">
        <f t="shared" ref="G61:G62" si="74">F61*E61</f>
        <v>423365.1801336534</v>
      </c>
      <c r="H61" s="7">
        <f>일위대가목록!F47</f>
        <v>6096.5919999999996</v>
      </c>
      <c r="I61" s="7">
        <f t="shared" ref="I61:I62" si="75">H61*E61</f>
        <v>1182574.2400160001</v>
      </c>
      <c r="J61" s="7">
        <f>일위대가목록!G47</f>
        <v>0</v>
      </c>
      <c r="K61" s="7">
        <f t="shared" ref="K61:K63" si="76">J61*E61</f>
        <v>0</v>
      </c>
      <c r="L61" s="7">
        <f t="shared" ref="L61" si="77">F61+H61</f>
        <v>8279.1905066666659</v>
      </c>
      <c r="M61" s="7">
        <f t="shared" ref="M61" si="78">L61*E61</f>
        <v>1605939.4201496532</v>
      </c>
      <c r="N61" s="320"/>
    </row>
    <row r="62" spans="1:14" ht="24.95" customHeight="1">
      <c r="A62" s="321"/>
      <c r="B62" s="7" t="s">
        <v>295</v>
      </c>
      <c r="C62" s="7" t="s">
        <v>539</v>
      </c>
      <c r="D62" s="8" t="s">
        <v>176</v>
      </c>
      <c r="E62" s="14">
        <f>물량산출서!E45</f>
        <v>14.4</v>
      </c>
      <c r="F62" s="7">
        <f>일위대가목록!E48</f>
        <v>2206.9848746666667</v>
      </c>
      <c r="G62" s="7">
        <f t="shared" si="74"/>
        <v>31780.582195200001</v>
      </c>
      <c r="H62" s="7">
        <f>일위대가목록!F48</f>
        <v>7315.9103999999998</v>
      </c>
      <c r="I62" s="7">
        <f t="shared" si="75"/>
        <v>105349.10975999999</v>
      </c>
      <c r="J62" s="7">
        <f>일위대가목록!G48</f>
        <v>0</v>
      </c>
      <c r="K62" s="7">
        <f t="shared" ref="K62" si="79">J62*E62</f>
        <v>0</v>
      </c>
      <c r="L62" s="7">
        <f t="shared" ref="L62" si="80">F62+H62</f>
        <v>9522.8952746666655</v>
      </c>
      <c r="M62" s="7">
        <f t="shared" ref="M62" si="81">L62*E62</f>
        <v>137129.69195519999</v>
      </c>
      <c r="N62" s="320"/>
    </row>
    <row r="63" spans="1:14" ht="24.95" customHeight="1">
      <c r="A63" s="321"/>
      <c r="B63" s="7" t="s">
        <v>484</v>
      </c>
      <c r="C63" s="7"/>
      <c r="D63" s="8" t="s">
        <v>176</v>
      </c>
      <c r="E63" s="14">
        <f>물량산출서!E46</f>
        <v>208.37300000000002</v>
      </c>
      <c r="F63" s="7">
        <f>일위대가목록!E49</f>
        <v>38.846249999999998</v>
      </c>
      <c r="G63" s="7">
        <f t="shared" si="70"/>
        <v>8094.5096512500004</v>
      </c>
      <c r="H63" s="7">
        <f>일위대가목록!F49</f>
        <v>1294.875</v>
      </c>
      <c r="I63" s="7">
        <f t="shared" si="71"/>
        <v>269816.98837500002</v>
      </c>
      <c r="J63" s="7">
        <f>일위대가목록!G49</f>
        <v>0</v>
      </c>
      <c r="K63" s="7">
        <f t="shared" si="76"/>
        <v>0</v>
      </c>
      <c r="L63" s="7">
        <f t="shared" si="72"/>
        <v>1333.7212500000001</v>
      </c>
      <c r="M63" s="7">
        <f t="shared" si="73"/>
        <v>277911.49802625005</v>
      </c>
      <c r="N63" s="320"/>
    </row>
    <row r="64" spans="1:14" ht="24.95" customHeight="1">
      <c r="A64" s="321"/>
      <c r="B64" s="7"/>
      <c r="C64" s="20"/>
      <c r="D64" s="19"/>
      <c r="E64" s="18"/>
      <c r="F64" s="20"/>
      <c r="G64" s="20"/>
      <c r="H64" s="20"/>
      <c r="I64" s="20"/>
      <c r="J64" s="20"/>
      <c r="K64" s="20"/>
      <c r="L64" s="20"/>
      <c r="M64" s="20"/>
      <c r="N64" s="327"/>
    </row>
    <row r="65" spans="1:14" ht="24.95" customHeight="1">
      <c r="A65" s="325"/>
      <c r="B65" s="1" t="s">
        <v>488</v>
      </c>
      <c r="C65" s="1"/>
      <c r="D65" s="9"/>
      <c r="E65" s="15"/>
      <c r="F65" s="1"/>
      <c r="G65" s="1">
        <f>SUM(G60:G64)</f>
        <v>899319.14855537459</v>
      </c>
      <c r="H65" s="1"/>
      <c r="I65" s="1">
        <f>SUM(I60:I64)</f>
        <v>5267862.8610050008</v>
      </c>
      <c r="J65" s="1"/>
      <c r="K65" s="1">
        <f>SUM(K60:K64)</f>
        <v>0</v>
      </c>
      <c r="L65" s="1"/>
      <c r="M65" s="1">
        <f>SUM(M60:M64)</f>
        <v>6167182.0095603755</v>
      </c>
      <c r="N65" s="326"/>
    </row>
    <row r="66" spans="1:14" ht="24.95" customHeight="1">
      <c r="A66" s="321" t="s">
        <v>487</v>
      </c>
      <c r="B66" s="7" t="s">
        <v>548</v>
      </c>
      <c r="C66" s="20"/>
      <c r="D66" s="19"/>
      <c r="E66" s="18"/>
      <c r="F66" s="20"/>
      <c r="G66" s="20"/>
      <c r="H66" s="20"/>
      <c r="I66" s="20"/>
      <c r="J66" s="20"/>
      <c r="K66" s="20"/>
      <c r="L66" s="20"/>
      <c r="M66" s="20"/>
      <c r="N66" s="327"/>
    </row>
    <row r="67" spans="1:14" ht="24.95" customHeight="1">
      <c r="A67" s="328"/>
      <c r="B67" s="20" t="s">
        <v>730</v>
      </c>
      <c r="C67" s="20"/>
      <c r="D67" s="19" t="s">
        <v>606</v>
      </c>
      <c r="E67" s="18">
        <f>물량산출서!E49</f>
        <v>4</v>
      </c>
      <c r="F67" s="20">
        <f>일위대가목록!E52</f>
        <v>24000</v>
      </c>
      <c r="G67" s="7">
        <f t="shared" ref="G67" si="82">F67*E67</f>
        <v>96000</v>
      </c>
      <c r="H67" s="20">
        <f>일위대가목록!F52</f>
        <v>59111.928</v>
      </c>
      <c r="I67" s="7">
        <f t="shared" ref="I67" si="83">H67*E67</f>
        <v>236447.712</v>
      </c>
      <c r="J67" s="20">
        <f>일위대가목록!G52</f>
        <v>0</v>
      </c>
      <c r="K67" s="7">
        <f t="shared" ref="K67" si="84">J67*E67</f>
        <v>0</v>
      </c>
      <c r="L67" s="7">
        <f t="shared" ref="L67" si="85">F67+H67</f>
        <v>83111.928</v>
      </c>
      <c r="M67" s="7">
        <f t="shared" ref="M67" si="86">L67*E67</f>
        <v>332447.712</v>
      </c>
      <c r="N67" s="327"/>
    </row>
    <row r="68" spans="1:14" ht="24.95" customHeight="1">
      <c r="A68" s="321"/>
      <c r="B68" s="7"/>
      <c r="C68" s="7"/>
      <c r="D68" s="8"/>
      <c r="E68" s="14"/>
      <c r="F68" s="7"/>
      <c r="G68" s="7"/>
      <c r="H68" s="7"/>
      <c r="I68" s="7"/>
      <c r="J68" s="7"/>
      <c r="K68" s="7"/>
      <c r="L68" s="7"/>
      <c r="M68" s="7"/>
      <c r="N68" s="320"/>
    </row>
    <row r="69" spans="1:14" ht="24.95" customHeight="1">
      <c r="A69" s="325"/>
      <c r="B69" s="1" t="s">
        <v>553</v>
      </c>
      <c r="C69" s="1"/>
      <c r="D69" s="9"/>
      <c r="E69" s="15"/>
      <c r="F69" s="1"/>
      <c r="G69" s="1">
        <f>SUM(G67:G68)</f>
        <v>96000</v>
      </c>
      <c r="H69" s="1"/>
      <c r="I69" s="1">
        <f>SUM(I67:I68)</f>
        <v>236447.712</v>
      </c>
      <c r="J69" s="1"/>
      <c r="K69" s="1">
        <f>SUM(K67:K68)</f>
        <v>0</v>
      </c>
      <c r="L69" s="1"/>
      <c r="M69" s="1">
        <f>SUM(M67:M68)</f>
        <v>332447.712</v>
      </c>
      <c r="N69" s="326"/>
    </row>
    <row r="70" spans="1:14" ht="24.95" customHeight="1">
      <c r="A70" s="321" t="s">
        <v>554</v>
      </c>
      <c r="B70" s="7" t="s">
        <v>739</v>
      </c>
      <c r="C70" s="20"/>
      <c r="D70" s="19"/>
      <c r="E70" s="18"/>
      <c r="F70" s="20"/>
      <c r="G70" s="20"/>
      <c r="H70" s="20"/>
      <c r="I70" s="20"/>
      <c r="J70" s="20"/>
      <c r="K70" s="20"/>
      <c r="L70" s="20"/>
      <c r="M70" s="20"/>
      <c r="N70" s="327"/>
    </row>
    <row r="71" spans="1:14" ht="24.95" customHeight="1">
      <c r="A71" s="328"/>
      <c r="B71" s="20" t="s">
        <v>740</v>
      </c>
      <c r="C71" s="20" t="s">
        <v>734</v>
      </c>
      <c r="D71" s="19" t="s">
        <v>736</v>
      </c>
      <c r="E71" s="18">
        <v>3.5</v>
      </c>
      <c r="F71" s="20">
        <f>일위대가목록!E56</f>
        <v>0</v>
      </c>
      <c r="G71" s="7">
        <f t="shared" ref="G71" si="87">F71*E71</f>
        <v>0</v>
      </c>
      <c r="H71" s="20">
        <f>일위대가목록!F56</f>
        <v>0</v>
      </c>
      <c r="I71" s="7">
        <f t="shared" ref="I71" si="88">H71*E71</f>
        <v>0</v>
      </c>
      <c r="J71" s="20">
        <f>단가대비표!L82</f>
        <v>165035</v>
      </c>
      <c r="K71" s="7">
        <f t="shared" ref="K71:K72" si="89">J71*E71</f>
        <v>577622.5</v>
      </c>
      <c r="L71" s="7">
        <f>F71+H71+J71</f>
        <v>165035</v>
      </c>
      <c r="M71" s="7">
        <f t="shared" ref="M71" si="90">L71*E71</f>
        <v>577622.5</v>
      </c>
      <c r="N71" s="327"/>
    </row>
    <row r="72" spans="1:14" ht="24.95" customHeight="1">
      <c r="A72" s="328"/>
      <c r="B72" s="20" t="s">
        <v>741</v>
      </c>
      <c r="C72" s="20" t="s">
        <v>742</v>
      </c>
      <c r="D72" s="19" t="s">
        <v>736</v>
      </c>
      <c r="E72" s="18">
        <v>3.5</v>
      </c>
      <c r="F72" s="20"/>
      <c r="G72" s="7"/>
      <c r="H72" s="20"/>
      <c r="I72" s="7"/>
      <c r="J72" s="20">
        <f>단가대비표!L83</f>
        <v>13660</v>
      </c>
      <c r="K72" s="7">
        <f t="shared" si="89"/>
        <v>47810</v>
      </c>
      <c r="L72" s="7">
        <f>F72+H72+J72</f>
        <v>13660</v>
      </c>
      <c r="M72" s="7">
        <f t="shared" ref="M72" si="91">L72*E72</f>
        <v>47810</v>
      </c>
      <c r="N72" s="327"/>
    </row>
    <row r="73" spans="1:14" ht="24.95" customHeight="1">
      <c r="A73" s="321"/>
      <c r="B73" s="7"/>
      <c r="C73" s="7"/>
      <c r="D73" s="8"/>
      <c r="E73" s="14"/>
      <c r="F73" s="7"/>
      <c r="G73" s="329"/>
      <c r="H73" s="7"/>
      <c r="I73" s="7"/>
      <c r="J73" s="7"/>
      <c r="K73" s="7"/>
      <c r="L73" s="7"/>
      <c r="M73" s="7"/>
      <c r="N73" s="320"/>
    </row>
    <row r="74" spans="1:14" ht="24.95" customHeight="1">
      <c r="A74" s="322"/>
      <c r="B74" s="10" t="s">
        <v>752</v>
      </c>
      <c r="C74" s="10"/>
      <c r="D74" s="11"/>
      <c r="E74" s="16"/>
      <c r="F74" s="10"/>
      <c r="G74" s="10">
        <f>SUM(G71:G73)</f>
        <v>0</v>
      </c>
      <c r="H74" s="10"/>
      <c r="I74" s="10">
        <f>SUM(I71:I73)</f>
        <v>0</v>
      </c>
      <c r="J74" s="10"/>
      <c r="K74" s="10">
        <f>SUM(K71:K73)</f>
        <v>625432.5</v>
      </c>
      <c r="L74" s="10"/>
      <c r="M74" s="10">
        <f>SUM(M71:M73)</f>
        <v>625432.5</v>
      </c>
      <c r="N74" s="323"/>
    </row>
    <row r="75" spans="1:14" s="21" customFormat="1" ht="24.95" customHeight="1">
      <c r="A75" s="330"/>
      <c r="B75" s="20"/>
      <c r="C75" s="20"/>
      <c r="D75" s="19"/>
      <c r="E75" s="18"/>
      <c r="F75" s="20"/>
      <c r="G75" s="20"/>
      <c r="H75" s="20"/>
      <c r="I75" s="20"/>
      <c r="J75" s="20"/>
      <c r="K75" s="20"/>
      <c r="L75" s="20"/>
      <c r="M75" s="20"/>
      <c r="N75" s="327"/>
    </row>
    <row r="76" spans="1:14" ht="24.95" customHeight="1">
      <c r="A76" s="321"/>
      <c r="B76" s="7"/>
      <c r="C76" s="20"/>
      <c r="D76" s="19"/>
      <c r="E76" s="18"/>
      <c r="F76" s="20"/>
      <c r="G76" s="20"/>
      <c r="H76" s="20"/>
      <c r="I76" s="20"/>
      <c r="J76" s="20"/>
      <c r="K76" s="20"/>
      <c r="L76" s="20"/>
      <c r="M76" s="20"/>
      <c r="N76" s="327"/>
    </row>
    <row r="77" spans="1:14" ht="24.95" customHeight="1">
      <c r="A77" s="321"/>
      <c r="B77" s="7"/>
      <c r="C77" s="20"/>
      <c r="D77" s="19"/>
      <c r="E77" s="18"/>
      <c r="F77" s="20"/>
      <c r="G77" s="7"/>
      <c r="H77" s="20"/>
      <c r="I77" s="7"/>
      <c r="J77" s="20"/>
      <c r="K77" s="7"/>
      <c r="L77" s="7"/>
      <c r="M77" s="7"/>
      <c r="N77" s="327"/>
    </row>
    <row r="78" spans="1:14" ht="24.95" customHeight="1">
      <c r="A78" s="321"/>
      <c r="B78" s="7"/>
      <c r="C78" s="20"/>
      <c r="D78" s="19"/>
      <c r="E78" s="18"/>
      <c r="F78" s="20"/>
      <c r="G78" s="7"/>
      <c r="H78" s="20"/>
      <c r="I78" s="7"/>
      <c r="J78" s="20"/>
      <c r="K78" s="7"/>
      <c r="L78" s="7"/>
      <c r="M78" s="7"/>
      <c r="N78" s="327"/>
    </row>
    <row r="79" spans="1:14" ht="24.95" customHeight="1">
      <c r="A79" s="328"/>
      <c r="B79" s="7"/>
      <c r="C79" s="7"/>
      <c r="D79" s="8"/>
      <c r="E79" s="14"/>
      <c r="F79" s="20"/>
      <c r="G79" s="7"/>
      <c r="H79" s="20"/>
      <c r="I79" s="7"/>
      <c r="J79" s="20"/>
      <c r="K79" s="7"/>
      <c r="L79" s="7"/>
      <c r="M79" s="7"/>
      <c r="N79" s="327"/>
    </row>
    <row r="80" spans="1:14" s="21" customFormat="1" ht="24.95" customHeight="1">
      <c r="A80" s="328"/>
      <c r="B80" s="20"/>
      <c r="C80" s="20"/>
      <c r="D80" s="19"/>
      <c r="E80" s="18"/>
      <c r="F80" s="20"/>
      <c r="G80" s="20"/>
      <c r="H80" s="20"/>
      <c r="I80" s="20"/>
      <c r="J80" s="20"/>
      <c r="K80" s="20"/>
      <c r="L80" s="20"/>
      <c r="M80" s="20"/>
      <c r="N80" s="327"/>
    </row>
    <row r="81" spans="1:14" s="21" customFormat="1" ht="24.95" customHeight="1">
      <c r="A81" s="330"/>
      <c r="B81" s="20"/>
      <c r="C81" s="20"/>
      <c r="D81" s="19"/>
      <c r="E81" s="18"/>
      <c r="F81" s="20"/>
      <c r="G81" s="20"/>
      <c r="H81" s="20"/>
      <c r="I81" s="20"/>
      <c r="J81" s="20"/>
      <c r="K81" s="20"/>
      <c r="L81" s="20"/>
      <c r="M81" s="20"/>
      <c r="N81" s="327"/>
    </row>
    <row r="82" spans="1:14" s="21" customFormat="1" ht="24.95" customHeight="1">
      <c r="A82" s="328"/>
      <c r="B82" s="20"/>
      <c r="C82" s="20"/>
      <c r="D82" s="19"/>
      <c r="E82" s="18"/>
      <c r="F82" s="20"/>
      <c r="G82" s="20"/>
      <c r="H82" s="20"/>
      <c r="I82" s="20"/>
      <c r="J82" s="20"/>
      <c r="K82" s="20"/>
      <c r="L82" s="20"/>
      <c r="M82" s="20"/>
      <c r="N82" s="327"/>
    </row>
    <row r="83" spans="1:14" s="21" customFormat="1" ht="24.95" customHeight="1">
      <c r="A83" s="330"/>
      <c r="B83" s="20"/>
      <c r="C83" s="20"/>
      <c r="D83" s="19"/>
      <c r="E83" s="18"/>
      <c r="F83" s="20"/>
      <c r="G83" s="20"/>
      <c r="H83" s="20"/>
      <c r="I83" s="20"/>
      <c r="J83" s="20"/>
      <c r="K83" s="20"/>
      <c r="L83" s="20"/>
      <c r="M83" s="20"/>
      <c r="N83" s="327"/>
    </row>
    <row r="84" spans="1:14" s="21" customFormat="1" ht="24.95" customHeight="1">
      <c r="A84" s="328"/>
      <c r="B84" s="20"/>
      <c r="C84" s="20"/>
      <c r="D84" s="19"/>
      <c r="E84" s="18"/>
      <c r="F84" s="20"/>
      <c r="G84" s="20"/>
      <c r="H84" s="20"/>
      <c r="I84" s="20"/>
      <c r="J84" s="20"/>
      <c r="K84" s="20"/>
      <c r="L84" s="20"/>
      <c r="M84" s="20"/>
      <c r="N84" s="327"/>
    </row>
    <row r="85" spans="1:14" s="21" customFormat="1" ht="24.95" customHeight="1">
      <c r="A85" s="328"/>
      <c r="B85" s="20"/>
      <c r="C85" s="20"/>
      <c r="D85" s="19"/>
      <c r="E85" s="18"/>
      <c r="F85" s="20"/>
      <c r="G85" s="20"/>
      <c r="H85" s="20"/>
      <c r="I85" s="20"/>
      <c r="J85" s="20"/>
      <c r="K85" s="20"/>
      <c r="L85" s="20"/>
      <c r="M85" s="20"/>
      <c r="N85" s="327"/>
    </row>
    <row r="86" spans="1:14" s="21" customFormat="1" ht="24.95" customHeight="1">
      <c r="A86" s="328"/>
      <c r="B86" s="20"/>
      <c r="C86" s="20"/>
      <c r="D86" s="19"/>
      <c r="E86" s="18"/>
      <c r="F86" s="20"/>
      <c r="G86" s="20"/>
      <c r="H86" s="20"/>
      <c r="I86" s="20"/>
      <c r="J86" s="20"/>
      <c r="K86" s="20"/>
      <c r="L86" s="20"/>
      <c r="M86" s="20"/>
      <c r="N86" s="327"/>
    </row>
    <row r="87" spans="1:14" s="21" customFormat="1" ht="24.95" customHeight="1">
      <c r="A87" s="330"/>
      <c r="B87" s="20"/>
      <c r="C87" s="20"/>
      <c r="D87" s="19"/>
      <c r="E87" s="18"/>
      <c r="F87" s="20"/>
      <c r="G87" s="20"/>
      <c r="H87" s="20"/>
      <c r="I87" s="20"/>
      <c r="J87" s="20"/>
      <c r="K87" s="20"/>
      <c r="L87" s="20"/>
      <c r="M87" s="20"/>
      <c r="N87" s="327"/>
    </row>
    <row r="88" spans="1:14" s="21" customFormat="1" ht="24.95" customHeight="1">
      <c r="A88" s="328"/>
      <c r="B88" s="20"/>
      <c r="C88" s="20"/>
      <c r="D88" s="19"/>
      <c r="E88" s="18"/>
      <c r="F88" s="20"/>
      <c r="G88" s="20"/>
      <c r="H88" s="20"/>
      <c r="I88" s="20"/>
      <c r="J88" s="20"/>
      <c r="K88" s="20"/>
      <c r="L88" s="20"/>
      <c r="M88" s="20"/>
      <c r="N88" s="327"/>
    </row>
    <row r="89" spans="1:14" s="21" customFormat="1" ht="24.95" customHeight="1">
      <c r="A89" s="328"/>
      <c r="B89" s="20"/>
      <c r="C89" s="20"/>
      <c r="D89" s="19"/>
      <c r="E89" s="18"/>
      <c r="F89" s="20"/>
      <c r="G89" s="20"/>
      <c r="H89" s="20"/>
      <c r="I89" s="20"/>
      <c r="J89" s="20"/>
      <c r="K89" s="20"/>
      <c r="L89" s="20"/>
      <c r="M89" s="20"/>
      <c r="N89" s="327"/>
    </row>
    <row r="90" spans="1:14" s="21" customFormat="1" ht="24.95" customHeight="1">
      <c r="A90" s="330"/>
      <c r="B90" s="20"/>
      <c r="C90" s="20"/>
      <c r="D90" s="19"/>
      <c r="E90" s="18"/>
      <c r="F90" s="20"/>
      <c r="G90" s="20"/>
      <c r="H90" s="20"/>
      <c r="I90" s="20"/>
      <c r="J90" s="20"/>
      <c r="K90" s="20"/>
      <c r="L90" s="20"/>
      <c r="M90" s="20"/>
      <c r="N90" s="327"/>
    </row>
    <row r="91" spans="1:14" ht="24.95" customHeight="1">
      <c r="A91" s="328"/>
      <c r="B91" s="7"/>
      <c r="C91" s="7"/>
      <c r="D91" s="8"/>
      <c r="E91" s="14"/>
      <c r="F91" s="20"/>
      <c r="G91" s="7"/>
      <c r="H91" s="20"/>
      <c r="I91" s="7"/>
      <c r="J91" s="20"/>
      <c r="K91" s="7"/>
      <c r="L91" s="7"/>
      <c r="M91" s="7"/>
      <c r="N91" s="327"/>
    </row>
    <row r="92" spans="1:14" ht="24.95" customHeight="1">
      <c r="A92" s="321"/>
      <c r="B92" s="7"/>
      <c r="C92" s="7"/>
      <c r="D92" s="8"/>
      <c r="E92" s="14"/>
      <c r="F92" s="7"/>
      <c r="G92" s="7"/>
      <c r="H92" s="7"/>
      <c r="I92" s="7"/>
      <c r="J92" s="7"/>
      <c r="K92" s="7"/>
      <c r="L92" s="7"/>
      <c r="M92" s="7"/>
      <c r="N92" s="320"/>
    </row>
    <row r="93" spans="1:14" s="21" customFormat="1" ht="24.95" customHeight="1">
      <c r="A93" s="331"/>
      <c r="B93" s="332"/>
      <c r="C93" s="332"/>
      <c r="D93" s="333"/>
      <c r="E93" s="334"/>
      <c r="F93" s="332"/>
      <c r="G93" s="332"/>
      <c r="H93" s="332"/>
      <c r="I93" s="332"/>
      <c r="J93" s="332"/>
      <c r="K93" s="332"/>
      <c r="L93" s="332"/>
      <c r="M93" s="332"/>
      <c r="N93" s="335"/>
    </row>
    <row r="94" spans="1:14" ht="24.95" customHeight="1"/>
    <row r="95" spans="1:14" ht="24.95" customHeight="1"/>
    <row r="96" spans="1:14" ht="24.95" customHeight="1"/>
    <row r="97" ht="21" customHeight="1"/>
    <row r="98" ht="21" customHeight="1"/>
    <row r="99" ht="21" customHeight="1"/>
    <row r="100" ht="21" customHeight="1"/>
    <row r="101" ht="21" customHeight="1"/>
    <row r="102" ht="21" customHeight="1"/>
    <row r="103" ht="21" customHeight="1"/>
    <row r="104" ht="21" customHeight="1"/>
    <row r="105" ht="21" customHeight="1"/>
    <row r="106" ht="21" customHeight="1"/>
    <row r="107" ht="21" customHeight="1"/>
    <row r="108" ht="21" customHeight="1"/>
    <row r="109" ht="21" customHeight="1"/>
  </sheetData>
  <mergeCells count="10">
    <mergeCell ref="F1:G1"/>
    <mergeCell ref="H1:I1"/>
    <mergeCell ref="L1:M1"/>
    <mergeCell ref="N1:N2"/>
    <mergeCell ref="J1:K1"/>
    <mergeCell ref="A1:A2"/>
    <mergeCell ref="B1:B2"/>
    <mergeCell ref="C1:C2"/>
    <mergeCell ref="D1:D2"/>
    <mergeCell ref="E1:E2"/>
  </mergeCells>
  <phoneticPr fontId="2" type="noConversion"/>
  <printOptions horizontalCentered="1"/>
  <pageMargins left="0.39370078740157483" right="0.39370078740157483" top="0.74803149606299213" bottom="0.74803149606299213" header="0.51181102362204722" footer="0.31496062992125984"/>
  <pageSetup paperSize="9" scale="59" fitToHeight="0" orientation="landscape" r:id="rId1"/>
  <headerFooter>
    <oddHeader>&amp;C내  역  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M247"/>
  <sheetViews>
    <sheetView view="pageBreakPreview" zoomScale="55" zoomScaleNormal="100" zoomScaleSheetLayoutView="55" workbookViewId="0">
      <selection activeCell="D2" sqref="D2:M3"/>
    </sheetView>
  </sheetViews>
  <sheetFormatPr defaultRowHeight="16.5"/>
  <cols>
    <col min="1" max="2" width="26.625" customWidth="1"/>
    <col min="3" max="3" width="4" customWidth="1"/>
    <col min="4" max="4" width="7.625" customWidth="1"/>
    <col min="5" max="5" width="14.5" customWidth="1"/>
    <col min="6" max="13" width="11.625" customWidth="1"/>
  </cols>
  <sheetData>
    <row r="1" spans="1:13" ht="30.75" customHeight="1">
      <c r="A1" s="167" t="str">
        <f>내역서!B3</f>
        <v>고양시 학교밖청소년 전용공간 조성공사</v>
      </c>
    </row>
    <row r="2" spans="1:13" ht="30" customHeight="1">
      <c r="A2" s="380" t="s">
        <v>137</v>
      </c>
      <c r="B2" s="380" t="s">
        <v>138</v>
      </c>
      <c r="C2" s="380" t="s">
        <v>112</v>
      </c>
      <c r="D2" s="391" t="s">
        <v>114</v>
      </c>
      <c r="E2" s="380" t="s">
        <v>139</v>
      </c>
      <c r="F2" s="380"/>
      <c r="G2" s="380" t="s">
        <v>140</v>
      </c>
      <c r="H2" s="380"/>
      <c r="I2" s="380" t="s">
        <v>141</v>
      </c>
      <c r="J2" s="380"/>
      <c r="K2" s="380" t="s">
        <v>142</v>
      </c>
      <c r="L2" s="380"/>
      <c r="M2" s="389" t="s">
        <v>143</v>
      </c>
    </row>
    <row r="3" spans="1:13" ht="30" customHeight="1">
      <c r="A3" s="380"/>
      <c r="B3" s="380"/>
      <c r="C3" s="380"/>
      <c r="D3" s="391"/>
      <c r="E3" s="166" t="s">
        <v>144</v>
      </c>
      <c r="F3" s="166" t="s">
        <v>145</v>
      </c>
      <c r="G3" s="166" t="s">
        <v>144</v>
      </c>
      <c r="H3" s="166" t="s">
        <v>145</v>
      </c>
      <c r="I3" s="166" t="s">
        <v>144</v>
      </c>
      <c r="J3" s="166" t="s">
        <v>145</v>
      </c>
      <c r="K3" s="166" t="s">
        <v>144</v>
      </c>
      <c r="L3" s="166" t="s">
        <v>145</v>
      </c>
      <c r="M3" s="390"/>
    </row>
    <row r="4" spans="1:13" ht="30" customHeight="1">
      <c r="A4" s="381" t="s">
        <v>146</v>
      </c>
      <c r="B4" s="382"/>
      <c r="C4" s="208" t="s">
        <v>147</v>
      </c>
      <c r="D4" s="209"/>
      <c r="E4" s="210"/>
      <c r="F4" s="211"/>
      <c r="G4" s="210"/>
      <c r="H4" s="211"/>
      <c r="I4" s="210"/>
      <c r="J4" s="211"/>
      <c r="K4" s="210"/>
      <c r="L4" s="211"/>
      <c r="M4" s="170"/>
    </row>
    <row r="5" spans="1:13" ht="30" customHeight="1">
      <c r="A5" s="212" t="s">
        <v>119</v>
      </c>
      <c r="B5" s="212" t="s">
        <v>599</v>
      </c>
      <c r="C5" s="213" t="s">
        <v>148</v>
      </c>
      <c r="D5" s="214">
        <v>5.0000000000000001E-3</v>
      </c>
      <c r="E5" s="215">
        <v>0</v>
      </c>
      <c r="F5" s="216">
        <f>TRUNC(E5*D5,1)</f>
        <v>0</v>
      </c>
      <c r="G5" s="215">
        <f>단가대비표!L3</f>
        <v>237273</v>
      </c>
      <c r="H5" s="216">
        <f>TRUNC(G5*D5,1)</f>
        <v>1186.3</v>
      </c>
      <c r="I5" s="215">
        <v>0</v>
      </c>
      <c r="J5" s="216">
        <f>TRUNC(I5*D5,1)</f>
        <v>0</v>
      </c>
      <c r="K5" s="215">
        <f>TRUNC(E5+G5+I5,1)</f>
        <v>237273</v>
      </c>
      <c r="L5" s="216">
        <f>TRUNC(F5+H5+J5,1)</f>
        <v>1186.3</v>
      </c>
      <c r="M5" s="168" t="s">
        <v>149</v>
      </c>
    </row>
    <row r="6" spans="1:13" ht="30" customHeight="1">
      <c r="A6" s="212"/>
      <c r="B6" s="212"/>
      <c r="C6" s="213"/>
      <c r="D6" s="214"/>
      <c r="E6" s="215"/>
      <c r="F6" s="216"/>
      <c r="G6" s="215"/>
      <c r="H6" s="216"/>
      <c r="I6" s="215"/>
      <c r="J6" s="216"/>
      <c r="K6" s="215"/>
      <c r="L6" s="216"/>
      <c r="M6" s="168"/>
    </row>
    <row r="7" spans="1:13" ht="30" customHeight="1">
      <c r="A7" s="217" t="s">
        <v>150</v>
      </c>
      <c r="B7" s="217" t="s">
        <v>149</v>
      </c>
      <c r="C7" s="218" t="s">
        <v>149</v>
      </c>
      <c r="D7" s="219"/>
      <c r="E7" s="220"/>
      <c r="F7" s="221">
        <f>SUM(F5:F6)</f>
        <v>0</v>
      </c>
      <c r="G7" s="220"/>
      <c r="H7" s="221">
        <f>SUM(H5:H6)</f>
        <v>1186.3</v>
      </c>
      <c r="I7" s="220"/>
      <c r="J7" s="221">
        <f>SUM(J5:J6)</f>
        <v>0</v>
      </c>
      <c r="K7" s="220"/>
      <c r="L7" s="221">
        <f>SUM(L5:L6)</f>
        <v>1186.3</v>
      </c>
      <c r="M7" s="169" t="s">
        <v>149</v>
      </c>
    </row>
    <row r="8" spans="1:13" ht="30" customHeight="1">
      <c r="A8" s="381" t="s">
        <v>196</v>
      </c>
      <c r="B8" s="382"/>
      <c r="C8" s="208" t="s">
        <v>147</v>
      </c>
      <c r="D8" s="209"/>
      <c r="E8" s="210"/>
      <c r="F8" s="211"/>
      <c r="G8" s="210"/>
      <c r="H8" s="211"/>
      <c r="I8" s="210"/>
      <c r="J8" s="211"/>
      <c r="K8" s="210"/>
      <c r="L8" s="211"/>
      <c r="M8" s="170"/>
    </row>
    <row r="9" spans="1:13" ht="30" customHeight="1">
      <c r="A9" s="212" t="s">
        <v>331</v>
      </c>
      <c r="B9" s="212" t="s">
        <v>190</v>
      </c>
      <c r="C9" s="213" t="s">
        <v>184</v>
      </c>
      <c r="D9" s="214">
        <v>1.2</v>
      </c>
      <c r="E9" s="215">
        <f>단가대비표!L36</f>
        <v>1086.4197530864196</v>
      </c>
      <c r="F9" s="216">
        <f>TRUNC(E9*D9,1)</f>
        <v>1303.7</v>
      </c>
      <c r="G9" s="215"/>
      <c r="H9" s="216">
        <f>TRUNC(G9*D9,1)</f>
        <v>0</v>
      </c>
      <c r="I9" s="215">
        <v>0</v>
      </c>
      <c r="J9" s="216">
        <f>TRUNC(I9*D9,1)</f>
        <v>0</v>
      </c>
      <c r="K9" s="215">
        <f>TRUNC(E9+G9+I9,1)</f>
        <v>1086.4000000000001</v>
      </c>
      <c r="L9" s="216">
        <f>TRUNC(F9+H9+J9,1)</f>
        <v>1303.7</v>
      </c>
      <c r="M9" s="168" t="s">
        <v>149</v>
      </c>
    </row>
    <row r="10" spans="1:13" ht="30" customHeight="1">
      <c r="A10" s="212" t="s">
        <v>183</v>
      </c>
      <c r="B10" s="212" t="s">
        <v>193</v>
      </c>
      <c r="C10" s="213" t="s">
        <v>185</v>
      </c>
      <c r="D10" s="214">
        <v>1.2</v>
      </c>
      <c r="E10" s="215">
        <f>단가대비표!L37</f>
        <v>211.11111111111111</v>
      </c>
      <c r="F10" s="216">
        <f t="shared" ref="F10:F12" si="0">TRUNC(E10*D10,1)</f>
        <v>253.3</v>
      </c>
      <c r="G10" s="215"/>
      <c r="H10" s="216">
        <f t="shared" ref="H10:H12" si="1">TRUNC(G10*D10,1)</f>
        <v>0</v>
      </c>
      <c r="I10" s="215"/>
      <c r="J10" s="216">
        <f t="shared" ref="J10:J12" si="2">TRUNC(I10*D10,1)</f>
        <v>0</v>
      </c>
      <c r="K10" s="215">
        <f t="shared" ref="K10:K12" si="3">TRUNC(E10+G10+I10,1)</f>
        <v>211.1</v>
      </c>
      <c r="L10" s="216">
        <f t="shared" ref="L10:L12" si="4">TRUNC(F10+H10+J10,1)</f>
        <v>253.3</v>
      </c>
      <c r="M10" s="168"/>
    </row>
    <row r="11" spans="1:13" ht="30" customHeight="1">
      <c r="A11" s="212" t="s">
        <v>194</v>
      </c>
      <c r="B11" s="212"/>
      <c r="C11" s="213" t="s">
        <v>195</v>
      </c>
      <c r="D11" s="214">
        <f>2</f>
        <v>2</v>
      </c>
      <c r="E11" s="215">
        <f>단가대비표!L38</f>
        <v>136.4</v>
      </c>
      <c r="F11" s="216">
        <f t="shared" si="0"/>
        <v>272.8</v>
      </c>
      <c r="G11" s="215"/>
      <c r="H11" s="216">
        <f t="shared" si="1"/>
        <v>0</v>
      </c>
      <c r="I11" s="215"/>
      <c r="J11" s="216">
        <f t="shared" si="2"/>
        <v>0</v>
      </c>
      <c r="K11" s="215">
        <f t="shared" si="3"/>
        <v>136.4</v>
      </c>
      <c r="L11" s="216">
        <f t="shared" si="4"/>
        <v>272.8</v>
      </c>
      <c r="M11" s="168"/>
    </row>
    <row r="12" spans="1:13" ht="30" customHeight="1">
      <c r="A12" s="212" t="s">
        <v>182</v>
      </c>
      <c r="B12" s="212" t="s">
        <v>188</v>
      </c>
      <c r="C12" s="213" t="s">
        <v>187</v>
      </c>
      <c r="D12" s="214">
        <v>0.01</v>
      </c>
      <c r="E12" s="215"/>
      <c r="F12" s="216">
        <f t="shared" si="0"/>
        <v>0</v>
      </c>
      <c r="G12" s="215">
        <f>단가대비표!L7</f>
        <v>148510</v>
      </c>
      <c r="H12" s="216">
        <f t="shared" si="1"/>
        <v>1485.1</v>
      </c>
      <c r="I12" s="215"/>
      <c r="J12" s="216">
        <f t="shared" si="2"/>
        <v>0</v>
      </c>
      <c r="K12" s="215">
        <f t="shared" si="3"/>
        <v>148510</v>
      </c>
      <c r="L12" s="216">
        <f t="shared" si="4"/>
        <v>1485.1</v>
      </c>
      <c r="M12" s="168"/>
    </row>
    <row r="13" spans="1:13" ht="30" customHeight="1">
      <c r="A13" s="212"/>
      <c r="B13" s="212"/>
      <c r="C13" s="213"/>
      <c r="D13" s="214"/>
      <c r="E13" s="215"/>
      <c r="F13" s="216"/>
      <c r="G13" s="215"/>
      <c r="H13" s="216"/>
      <c r="I13" s="215"/>
      <c r="J13" s="216"/>
      <c r="K13" s="215"/>
      <c r="L13" s="216"/>
      <c r="M13" s="168"/>
    </row>
    <row r="14" spans="1:13" ht="30" customHeight="1">
      <c r="A14" s="217" t="s">
        <v>150</v>
      </c>
      <c r="B14" s="217" t="s">
        <v>149</v>
      </c>
      <c r="C14" s="218" t="s">
        <v>149</v>
      </c>
      <c r="D14" s="219"/>
      <c r="E14" s="220"/>
      <c r="F14" s="221">
        <f>SUM(F9:F13)</f>
        <v>1829.8</v>
      </c>
      <c r="G14" s="220"/>
      <c r="H14" s="221">
        <f>SUM(H9:H13)</f>
        <v>1485.1</v>
      </c>
      <c r="I14" s="220"/>
      <c r="J14" s="221">
        <f>SUM(J9:J13)</f>
        <v>0</v>
      </c>
      <c r="K14" s="220"/>
      <c r="L14" s="221">
        <f>SUM(L9:L13)</f>
        <v>3314.8999999999996</v>
      </c>
      <c r="M14" s="169" t="s">
        <v>149</v>
      </c>
    </row>
    <row r="15" spans="1:13" ht="30" customHeight="1">
      <c r="A15" s="381" t="s">
        <v>332</v>
      </c>
      <c r="B15" s="382"/>
      <c r="C15" s="208" t="s">
        <v>147</v>
      </c>
      <c r="D15" s="209"/>
      <c r="E15" s="210"/>
      <c r="F15" s="211"/>
      <c r="G15" s="210"/>
      <c r="H15" s="211"/>
      <c r="I15" s="210"/>
      <c r="J15" s="211"/>
      <c r="K15" s="210"/>
      <c r="L15" s="211"/>
      <c r="M15" s="170"/>
    </row>
    <row r="16" spans="1:13" ht="30" customHeight="1">
      <c r="A16" s="212" t="s">
        <v>182</v>
      </c>
      <c r="B16" s="212" t="s">
        <v>188</v>
      </c>
      <c r="C16" s="213" t="s">
        <v>187</v>
      </c>
      <c r="D16" s="214">
        <v>7.0000000000000007E-2</v>
      </c>
      <c r="E16" s="215"/>
      <c r="F16" s="216">
        <f t="shared" ref="F16" si="5">TRUNC(E16*D16,1)</f>
        <v>0</v>
      </c>
      <c r="G16" s="215">
        <f>단가대비표!L7</f>
        <v>148510</v>
      </c>
      <c r="H16" s="216">
        <f t="shared" ref="H16" si="6">TRUNC(G16*D16,1)</f>
        <v>10395.700000000001</v>
      </c>
      <c r="I16" s="215"/>
      <c r="J16" s="216">
        <f t="shared" ref="J16" si="7">TRUNC(I16*D16,1)</f>
        <v>0</v>
      </c>
      <c r="K16" s="215">
        <f t="shared" ref="K16" si="8">TRUNC(E16+G16+I16,1)</f>
        <v>148510</v>
      </c>
      <c r="L16" s="216">
        <f t="shared" ref="L16" si="9">TRUNC(F16+H16+J16,1)</f>
        <v>10395.700000000001</v>
      </c>
      <c r="M16" s="168"/>
    </row>
    <row r="17" spans="1:13" ht="30" customHeight="1">
      <c r="A17" s="212"/>
      <c r="B17" s="212"/>
      <c r="C17" s="213"/>
      <c r="D17" s="214"/>
      <c r="E17" s="215"/>
      <c r="F17" s="216"/>
      <c r="G17" s="215"/>
      <c r="H17" s="216"/>
      <c r="I17" s="215"/>
      <c r="J17" s="216"/>
      <c r="K17" s="215"/>
      <c r="L17" s="216"/>
      <c r="M17" s="168"/>
    </row>
    <row r="18" spans="1:13" ht="30" customHeight="1">
      <c r="A18" s="217" t="s">
        <v>150</v>
      </c>
      <c r="B18" s="217" t="s">
        <v>149</v>
      </c>
      <c r="C18" s="218" t="s">
        <v>149</v>
      </c>
      <c r="D18" s="219"/>
      <c r="E18" s="220"/>
      <c r="F18" s="221">
        <f>SUM(F16:F17)</f>
        <v>0</v>
      </c>
      <c r="G18" s="220"/>
      <c r="H18" s="221">
        <f>SUM(H16:H17)</f>
        <v>10395.700000000001</v>
      </c>
      <c r="I18" s="220"/>
      <c r="J18" s="221">
        <f>SUM(J16:J17)</f>
        <v>0</v>
      </c>
      <c r="K18" s="220"/>
      <c r="L18" s="221">
        <f>SUM(L16:L17)</f>
        <v>10395.700000000001</v>
      </c>
      <c r="M18" s="169" t="s">
        <v>149</v>
      </c>
    </row>
    <row r="19" spans="1:13" ht="30" customHeight="1">
      <c r="A19" s="381" t="s">
        <v>508</v>
      </c>
      <c r="B19" s="382"/>
      <c r="C19" s="208" t="s">
        <v>147</v>
      </c>
      <c r="D19" s="209"/>
      <c r="E19" s="210"/>
      <c r="F19" s="211"/>
      <c r="G19" s="210"/>
      <c r="H19" s="211"/>
      <c r="I19" s="210"/>
      <c r="J19" s="211"/>
      <c r="K19" s="210"/>
      <c r="L19" s="211"/>
      <c r="M19" s="170"/>
    </row>
    <row r="20" spans="1:13" ht="30" customHeight="1">
      <c r="A20" s="212" t="s">
        <v>120</v>
      </c>
      <c r="B20" s="212" t="s">
        <v>435</v>
      </c>
      <c r="C20" s="213" t="s">
        <v>148</v>
      </c>
      <c r="D20" s="214">
        <v>1.6E-2</v>
      </c>
      <c r="E20" s="215"/>
      <c r="F20" s="216">
        <f t="shared" ref="F20:F22" si="10">TRUNC(E20*D20,1)</f>
        <v>0</v>
      </c>
      <c r="G20" s="215">
        <f>단가대비표!L4</f>
        <v>217517</v>
      </c>
      <c r="H20" s="216">
        <f t="shared" ref="H20:H21" si="11">TRUNC(G20*D20,1)</f>
        <v>3480.2</v>
      </c>
      <c r="I20" s="215"/>
      <c r="J20" s="216">
        <f t="shared" ref="J20:J22" si="12">TRUNC(I20*D20,1)</f>
        <v>0</v>
      </c>
      <c r="K20" s="215">
        <f t="shared" ref="K20:K22" si="13">TRUNC(E20+G20+I20,1)</f>
        <v>217517</v>
      </c>
      <c r="L20" s="216">
        <f t="shared" ref="L20:L22" si="14">TRUNC(F20+H20+J20,1)</f>
        <v>3480.2</v>
      </c>
      <c r="M20" s="168"/>
    </row>
    <row r="21" spans="1:13" ht="30" customHeight="1">
      <c r="A21" s="212" t="s">
        <v>120</v>
      </c>
      <c r="B21" s="212" t="s">
        <v>189</v>
      </c>
      <c r="C21" s="213" t="s">
        <v>148</v>
      </c>
      <c r="D21" s="214">
        <v>1.0999999999999999E-2</v>
      </c>
      <c r="E21" s="215"/>
      <c r="F21" s="216">
        <f t="shared" si="10"/>
        <v>0</v>
      </c>
      <c r="G21" s="215">
        <f>단가대비표!L7</f>
        <v>148510</v>
      </c>
      <c r="H21" s="216">
        <f t="shared" si="11"/>
        <v>1633.6</v>
      </c>
      <c r="I21" s="215"/>
      <c r="J21" s="216">
        <f t="shared" si="12"/>
        <v>0</v>
      </c>
      <c r="K21" s="215">
        <f t="shared" si="13"/>
        <v>148510</v>
      </c>
      <c r="L21" s="216">
        <f t="shared" si="14"/>
        <v>1633.6</v>
      </c>
      <c r="M21" s="168"/>
    </row>
    <row r="22" spans="1:13" ht="30" customHeight="1">
      <c r="A22" s="212" t="s">
        <v>437</v>
      </c>
      <c r="B22" s="212"/>
      <c r="C22" s="213" t="s">
        <v>438</v>
      </c>
      <c r="D22" s="214">
        <v>2</v>
      </c>
      <c r="E22" s="215">
        <f>(H21+H20)*2%</f>
        <v>102.27599999999998</v>
      </c>
      <c r="F22" s="216">
        <f t="shared" si="10"/>
        <v>204.5</v>
      </c>
      <c r="G22" s="215"/>
      <c r="H22" s="216"/>
      <c r="I22" s="215"/>
      <c r="J22" s="216">
        <f t="shared" si="12"/>
        <v>0</v>
      </c>
      <c r="K22" s="215">
        <f t="shared" si="13"/>
        <v>102.2</v>
      </c>
      <c r="L22" s="216">
        <f t="shared" si="14"/>
        <v>204.5</v>
      </c>
      <c r="M22" s="168"/>
    </row>
    <row r="23" spans="1:13" ht="30" customHeight="1">
      <c r="A23" s="212"/>
      <c r="B23" s="212"/>
      <c r="C23" s="213"/>
      <c r="D23" s="214"/>
      <c r="E23" s="215"/>
      <c r="F23" s="216"/>
      <c r="G23" s="215"/>
      <c r="H23" s="216"/>
      <c r="I23" s="215"/>
      <c r="J23" s="216"/>
      <c r="K23" s="215"/>
      <c r="L23" s="216"/>
      <c r="M23" s="168"/>
    </row>
    <row r="24" spans="1:13" ht="30" customHeight="1">
      <c r="A24" s="217" t="s">
        <v>150</v>
      </c>
      <c r="B24" s="217" t="s">
        <v>149</v>
      </c>
      <c r="C24" s="218" t="s">
        <v>149</v>
      </c>
      <c r="D24" s="219"/>
      <c r="E24" s="220"/>
      <c r="F24" s="221">
        <f>SUM(F20:F23)</f>
        <v>204.5</v>
      </c>
      <c r="G24" s="220"/>
      <c r="H24" s="221">
        <f>SUM(H20:H23)</f>
        <v>5113.7999999999993</v>
      </c>
      <c r="I24" s="220"/>
      <c r="J24" s="221">
        <f>SUM(J20:J23)</f>
        <v>0</v>
      </c>
      <c r="K24" s="220"/>
      <c r="L24" s="221">
        <f>SUM(L20:L23)</f>
        <v>5318.2999999999993</v>
      </c>
      <c r="M24" s="169" t="s">
        <v>149</v>
      </c>
    </row>
    <row r="25" spans="1:13" ht="30" customHeight="1">
      <c r="A25" s="381" t="s">
        <v>597</v>
      </c>
      <c r="B25" s="382"/>
      <c r="C25" s="208" t="s">
        <v>147</v>
      </c>
      <c r="D25" s="209"/>
      <c r="E25" s="210"/>
      <c r="F25" s="211"/>
      <c r="G25" s="210"/>
      <c r="H25" s="211"/>
      <c r="I25" s="210"/>
      <c r="J25" s="211"/>
      <c r="K25" s="210"/>
      <c r="L25" s="211"/>
      <c r="M25" s="170"/>
    </row>
    <row r="26" spans="1:13" ht="30" customHeight="1">
      <c r="A26" s="212" t="s">
        <v>120</v>
      </c>
      <c r="B26" s="212" t="s">
        <v>435</v>
      </c>
      <c r="C26" s="213" t="s">
        <v>148</v>
      </c>
      <c r="D26" s="214">
        <v>1.7999999999999999E-2</v>
      </c>
      <c r="E26" s="215"/>
      <c r="F26" s="216">
        <f t="shared" ref="F26:F28" si="15">TRUNC(E26*D26,1)</f>
        <v>0</v>
      </c>
      <c r="G26" s="215">
        <f>단가대비표!L4</f>
        <v>217517</v>
      </c>
      <c r="H26" s="216">
        <f t="shared" ref="H26:H27" si="16">TRUNC(G26*D26,1)</f>
        <v>3915.3</v>
      </c>
      <c r="I26" s="215"/>
      <c r="J26" s="216">
        <f t="shared" ref="J26:J28" si="17">TRUNC(I26*D26,1)</f>
        <v>0</v>
      </c>
      <c r="K26" s="215">
        <f t="shared" ref="K26:K28" si="18">TRUNC(E26+G26+I26,1)</f>
        <v>217517</v>
      </c>
      <c r="L26" s="216">
        <f t="shared" ref="L26:L28" si="19">TRUNC(F26+H26+J26,1)</f>
        <v>3915.3</v>
      </c>
      <c r="M26" s="168"/>
    </row>
    <row r="27" spans="1:13" ht="30" customHeight="1">
      <c r="A27" s="212" t="s">
        <v>120</v>
      </c>
      <c r="B27" s="212" t="s">
        <v>189</v>
      </c>
      <c r="C27" s="213" t="s">
        <v>148</v>
      </c>
      <c r="D27" s="214">
        <v>1.2E-2</v>
      </c>
      <c r="E27" s="215"/>
      <c r="F27" s="216">
        <f t="shared" si="15"/>
        <v>0</v>
      </c>
      <c r="G27" s="215">
        <f>단가대비표!L7</f>
        <v>148510</v>
      </c>
      <c r="H27" s="216">
        <f t="shared" si="16"/>
        <v>1782.1</v>
      </c>
      <c r="I27" s="215"/>
      <c r="J27" s="216">
        <f t="shared" si="17"/>
        <v>0</v>
      </c>
      <c r="K27" s="215">
        <f t="shared" si="18"/>
        <v>148510</v>
      </c>
      <c r="L27" s="216">
        <f t="shared" si="19"/>
        <v>1782.1</v>
      </c>
      <c r="M27" s="168"/>
    </row>
    <row r="28" spans="1:13" ht="30" customHeight="1">
      <c r="A28" s="212" t="s">
        <v>437</v>
      </c>
      <c r="B28" s="212"/>
      <c r="C28" s="213" t="s">
        <v>438</v>
      </c>
      <c r="D28" s="214">
        <v>2</v>
      </c>
      <c r="E28" s="215">
        <f>(H27+H26)*2%</f>
        <v>113.94799999999999</v>
      </c>
      <c r="F28" s="216">
        <f t="shared" si="15"/>
        <v>227.8</v>
      </c>
      <c r="G28" s="215"/>
      <c r="H28" s="216"/>
      <c r="I28" s="215"/>
      <c r="J28" s="216">
        <f t="shared" si="17"/>
        <v>0</v>
      </c>
      <c r="K28" s="215">
        <f t="shared" si="18"/>
        <v>113.9</v>
      </c>
      <c r="L28" s="216">
        <f t="shared" si="19"/>
        <v>227.8</v>
      </c>
      <c r="M28" s="168"/>
    </row>
    <row r="29" spans="1:13" ht="30" customHeight="1">
      <c r="A29" s="212"/>
      <c r="B29" s="212"/>
      <c r="C29" s="213"/>
      <c r="D29" s="214"/>
      <c r="E29" s="215"/>
      <c r="F29" s="216"/>
      <c r="G29" s="215"/>
      <c r="H29" s="216"/>
      <c r="I29" s="215"/>
      <c r="J29" s="216"/>
      <c r="K29" s="215"/>
      <c r="L29" s="216"/>
      <c r="M29" s="168"/>
    </row>
    <row r="30" spans="1:13" ht="30" customHeight="1">
      <c r="A30" s="217" t="s">
        <v>150</v>
      </c>
      <c r="B30" s="217" t="s">
        <v>149</v>
      </c>
      <c r="C30" s="218" t="s">
        <v>149</v>
      </c>
      <c r="D30" s="219"/>
      <c r="E30" s="220"/>
      <c r="F30" s="221">
        <f>SUM(F26:F29)</f>
        <v>227.8</v>
      </c>
      <c r="G30" s="220"/>
      <c r="H30" s="221">
        <f>SUM(H26:H29)</f>
        <v>5697.4</v>
      </c>
      <c r="I30" s="220"/>
      <c r="J30" s="221">
        <f>SUM(J26:J29)</f>
        <v>0</v>
      </c>
      <c r="K30" s="220"/>
      <c r="L30" s="221">
        <f>SUM(L26:L29)</f>
        <v>5925.2</v>
      </c>
      <c r="M30" s="169" t="s">
        <v>149</v>
      </c>
    </row>
    <row r="31" spans="1:13" ht="30" customHeight="1">
      <c r="A31" s="381" t="s">
        <v>598</v>
      </c>
      <c r="B31" s="382"/>
      <c r="C31" s="208" t="s">
        <v>147</v>
      </c>
      <c r="D31" s="209"/>
      <c r="E31" s="210"/>
      <c r="F31" s="211"/>
      <c r="G31" s="210"/>
      <c r="H31" s="211"/>
      <c r="I31" s="210"/>
      <c r="J31" s="211"/>
      <c r="K31" s="210"/>
      <c r="L31" s="211"/>
      <c r="M31" s="170"/>
    </row>
    <row r="32" spans="1:13" ht="30" customHeight="1">
      <c r="A32" s="212" t="s">
        <v>120</v>
      </c>
      <c r="B32" s="212" t="s">
        <v>435</v>
      </c>
      <c r="C32" s="213" t="s">
        <v>148</v>
      </c>
      <c r="D32" s="214">
        <v>1.4E-2</v>
      </c>
      <c r="E32" s="215"/>
      <c r="F32" s="216">
        <f t="shared" ref="F32:F34" si="20">TRUNC(E32*D32,1)</f>
        <v>0</v>
      </c>
      <c r="G32" s="215">
        <f>단가대비표!L4</f>
        <v>217517</v>
      </c>
      <c r="H32" s="216">
        <f t="shared" ref="H32:H33" si="21">TRUNC(G32*D32,1)</f>
        <v>3045.2</v>
      </c>
      <c r="I32" s="215"/>
      <c r="J32" s="216">
        <f t="shared" ref="J32:J34" si="22">TRUNC(I32*D32,1)</f>
        <v>0</v>
      </c>
      <c r="K32" s="215">
        <f t="shared" ref="K32:K34" si="23">TRUNC(E32+G32+I32,1)</f>
        <v>217517</v>
      </c>
      <c r="L32" s="216">
        <f t="shared" ref="L32:L34" si="24">TRUNC(F32+H32+J32,1)</f>
        <v>3045.2</v>
      </c>
      <c r="M32" s="168"/>
    </row>
    <row r="33" spans="1:13" ht="30" customHeight="1">
      <c r="A33" s="212" t="s">
        <v>120</v>
      </c>
      <c r="B33" s="212" t="s">
        <v>189</v>
      </c>
      <c r="C33" s="213" t="s">
        <v>148</v>
      </c>
      <c r="D33" s="214">
        <v>0.01</v>
      </c>
      <c r="E33" s="215"/>
      <c r="F33" s="216">
        <f t="shared" si="20"/>
        <v>0</v>
      </c>
      <c r="G33" s="215">
        <f>단가대비표!L7</f>
        <v>148510</v>
      </c>
      <c r="H33" s="216">
        <f t="shared" si="21"/>
        <v>1485.1</v>
      </c>
      <c r="I33" s="215"/>
      <c r="J33" s="216">
        <f t="shared" si="22"/>
        <v>0</v>
      </c>
      <c r="K33" s="215">
        <f t="shared" si="23"/>
        <v>148510</v>
      </c>
      <c r="L33" s="216">
        <f t="shared" si="24"/>
        <v>1485.1</v>
      </c>
      <c r="M33" s="168"/>
    </row>
    <row r="34" spans="1:13" ht="30" customHeight="1">
      <c r="A34" s="212" t="s">
        <v>437</v>
      </c>
      <c r="B34" s="212"/>
      <c r="C34" s="213" t="s">
        <v>438</v>
      </c>
      <c r="D34" s="214">
        <v>2</v>
      </c>
      <c r="E34" s="215">
        <f>(H33+H32)*2%</f>
        <v>90.60599999999998</v>
      </c>
      <c r="F34" s="216">
        <f t="shared" si="20"/>
        <v>181.2</v>
      </c>
      <c r="G34" s="215"/>
      <c r="H34" s="216"/>
      <c r="I34" s="215"/>
      <c r="J34" s="216">
        <f t="shared" si="22"/>
        <v>0</v>
      </c>
      <c r="K34" s="215">
        <f t="shared" si="23"/>
        <v>90.6</v>
      </c>
      <c r="L34" s="216">
        <f t="shared" si="24"/>
        <v>181.2</v>
      </c>
      <c r="M34" s="168"/>
    </row>
    <row r="35" spans="1:13" ht="30" customHeight="1">
      <c r="A35" s="212"/>
      <c r="B35" s="212"/>
      <c r="C35" s="213"/>
      <c r="D35" s="214"/>
      <c r="E35" s="215"/>
      <c r="F35" s="216"/>
      <c r="G35" s="215"/>
      <c r="H35" s="216"/>
      <c r="I35" s="215"/>
      <c r="J35" s="216"/>
      <c r="K35" s="215"/>
      <c r="L35" s="216"/>
      <c r="M35" s="168"/>
    </row>
    <row r="36" spans="1:13" ht="30" customHeight="1">
      <c r="A36" s="217" t="s">
        <v>150</v>
      </c>
      <c r="B36" s="217" t="s">
        <v>149</v>
      </c>
      <c r="C36" s="218" t="s">
        <v>149</v>
      </c>
      <c r="D36" s="219"/>
      <c r="E36" s="220"/>
      <c r="F36" s="221">
        <f>SUM(F32:F35)</f>
        <v>181.2</v>
      </c>
      <c r="G36" s="220"/>
      <c r="H36" s="221">
        <f>SUM(H32:H35)</f>
        <v>4530.2999999999993</v>
      </c>
      <c r="I36" s="220"/>
      <c r="J36" s="221">
        <f>SUM(J32:J35)</f>
        <v>0</v>
      </c>
      <c r="K36" s="220"/>
      <c r="L36" s="221">
        <f>SUM(L32:L35)</f>
        <v>4711.4999999999991</v>
      </c>
      <c r="M36" s="169" t="s">
        <v>149</v>
      </c>
    </row>
    <row r="37" spans="1:13" ht="30" customHeight="1">
      <c r="A37" s="381" t="s">
        <v>669</v>
      </c>
      <c r="B37" s="382"/>
      <c r="C37" s="208" t="s">
        <v>147</v>
      </c>
      <c r="D37" s="209"/>
      <c r="E37" s="210"/>
      <c r="F37" s="211"/>
      <c r="G37" s="210"/>
      <c r="H37" s="211"/>
      <c r="I37" s="210"/>
      <c r="J37" s="211"/>
      <c r="K37" s="210"/>
      <c r="L37" s="211"/>
      <c r="M37" s="170"/>
    </row>
    <row r="38" spans="1:13" ht="30" customHeight="1">
      <c r="A38" s="212" t="s">
        <v>120</v>
      </c>
      <c r="B38" s="212" t="s">
        <v>435</v>
      </c>
      <c r="C38" s="213" t="s">
        <v>148</v>
      </c>
      <c r="D38" s="214">
        <v>1.6E-2</v>
      </c>
      <c r="E38" s="215"/>
      <c r="F38" s="216">
        <f t="shared" ref="F38:F40" si="25">TRUNC(E38*D38,1)</f>
        <v>0</v>
      </c>
      <c r="G38" s="215">
        <f>단가대비표!L4</f>
        <v>217517</v>
      </c>
      <c r="H38" s="216">
        <f t="shared" ref="H38:H39" si="26">TRUNC(G38*D38,1)</f>
        <v>3480.2</v>
      </c>
      <c r="I38" s="215"/>
      <c r="J38" s="216">
        <f t="shared" ref="J38:J40" si="27">TRUNC(I38*D38,1)</f>
        <v>0</v>
      </c>
      <c r="K38" s="215">
        <f t="shared" ref="K38:K40" si="28">TRUNC(E38+G38+I38,1)</f>
        <v>217517</v>
      </c>
      <c r="L38" s="216">
        <f t="shared" ref="L38:L40" si="29">TRUNC(F38+H38+J38,1)</f>
        <v>3480.2</v>
      </c>
      <c r="M38" s="168"/>
    </row>
    <row r="39" spans="1:13" ht="30" customHeight="1">
      <c r="A39" s="212" t="s">
        <v>120</v>
      </c>
      <c r="B39" s="212" t="s">
        <v>189</v>
      </c>
      <c r="C39" s="213" t="s">
        <v>148</v>
      </c>
      <c r="D39" s="214">
        <v>1.0999999999999999E-2</v>
      </c>
      <c r="E39" s="215"/>
      <c r="F39" s="216">
        <f t="shared" si="25"/>
        <v>0</v>
      </c>
      <c r="G39" s="215">
        <f>단가대비표!L7</f>
        <v>148510</v>
      </c>
      <c r="H39" s="216">
        <f t="shared" si="26"/>
        <v>1633.6</v>
      </c>
      <c r="I39" s="215"/>
      <c r="J39" s="216">
        <f t="shared" si="27"/>
        <v>0</v>
      </c>
      <c r="K39" s="215">
        <f t="shared" si="28"/>
        <v>148510</v>
      </c>
      <c r="L39" s="216">
        <f t="shared" si="29"/>
        <v>1633.6</v>
      </c>
      <c r="M39" s="168"/>
    </row>
    <row r="40" spans="1:13" ht="30" customHeight="1">
      <c r="A40" s="212" t="s">
        <v>437</v>
      </c>
      <c r="B40" s="212"/>
      <c r="C40" s="213" t="s">
        <v>438</v>
      </c>
      <c r="D40" s="214">
        <v>2</v>
      </c>
      <c r="E40" s="215">
        <f>(H39+H38)*2%</f>
        <v>102.27599999999998</v>
      </c>
      <c r="F40" s="216">
        <f t="shared" si="25"/>
        <v>204.5</v>
      </c>
      <c r="G40" s="215"/>
      <c r="H40" s="216"/>
      <c r="I40" s="215"/>
      <c r="J40" s="216">
        <f t="shared" si="27"/>
        <v>0</v>
      </c>
      <c r="K40" s="215">
        <f t="shared" si="28"/>
        <v>102.2</v>
      </c>
      <c r="L40" s="216">
        <f t="shared" si="29"/>
        <v>204.5</v>
      </c>
      <c r="M40" s="168"/>
    </row>
    <row r="41" spans="1:13" ht="30" customHeight="1">
      <c r="A41" s="212"/>
      <c r="B41" s="212"/>
      <c r="C41" s="213"/>
      <c r="D41" s="214"/>
      <c r="E41" s="215"/>
      <c r="F41" s="216"/>
      <c r="G41" s="215"/>
      <c r="H41" s="216"/>
      <c r="I41" s="215"/>
      <c r="J41" s="216"/>
      <c r="K41" s="215"/>
      <c r="L41" s="216"/>
      <c r="M41" s="168"/>
    </row>
    <row r="42" spans="1:13" ht="30" customHeight="1">
      <c r="A42" s="217" t="s">
        <v>150</v>
      </c>
      <c r="B42" s="217" t="s">
        <v>149</v>
      </c>
      <c r="C42" s="218" t="s">
        <v>149</v>
      </c>
      <c r="D42" s="219"/>
      <c r="E42" s="220"/>
      <c r="F42" s="221">
        <f>SUM(F38:F41)</f>
        <v>204.5</v>
      </c>
      <c r="G42" s="220"/>
      <c r="H42" s="221">
        <f>SUM(H38:H41)</f>
        <v>5113.7999999999993</v>
      </c>
      <c r="I42" s="220"/>
      <c r="J42" s="221">
        <f>SUM(J38:J41)</f>
        <v>0</v>
      </c>
      <c r="K42" s="220"/>
      <c r="L42" s="221">
        <f>SUM(L38:L41)</f>
        <v>5318.2999999999993</v>
      </c>
      <c r="M42" s="169" t="s">
        <v>149</v>
      </c>
    </row>
    <row r="43" spans="1:13" ht="30" customHeight="1">
      <c r="A43" s="381" t="s">
        <v>678</v>
      </c>
      <c r="B43" s="382"/>
      <c r="C43" s="208" t="s">
        <v>147</v>
      </c>
      <c r="D43" s="209"/>
      <c r="E43" s="210"/>
      <c r="F43" s="211"/>
      <c r="G43" s="210"/>
      <c r="H43" s="211"/>
      <c r="I43" s="210"/>
      <c r="J43" s="211"/>
      <c r="K43" s="210"/>
      <c r="L43" s="211"/>
      <c r="M43" s="170"/>
    </row>
    <row r="44" spans="1:13" ht="30" customHeight="1">
      <c r="A44" s="212" t="s">
        <v>120</v>
      </c>
      <c r="B44" s="212" t="s">
        <v>617</v>
      </c>
      <c r="C44" s="213" t="s">
        <v>148</v>
      </c>
      <c r="D44" s="214">
        <v>6.0000000000000001E-3</v>
      </c>
      <c r="E44" s="215"/>
      <c r="F44" s="216">
        <f t="shared" ref="F44" si="30">TRUNC(E44*D44,1)</f>
        <v>0</v>
      </c>
      <c r="G44" s="215">
        <f>단가대비표!L4</f>
        <v>217517</v>
      </c>
      <c r="H44" s="216">
        <f t="shared" ref="H44:H45" si="31">TRUNC(G44*D44,1)</f>
        <v>1305.0999999999999</v>
      </c>
      <c r="I44" s="215"/>
      <c r="J44" s="216">
        <f t="shared" ref="J44:J45" si="32">TRUNC(I44*D44,1)</f>
        <v>0</v>
      </c>
      <c r="K44" s="215">
        <f t="shared" ref="K44:K45" si="33">TRUNC(E44+G44+I44,1)</f>
        <v>217517</v>
      </c>
      <c r="L44" s="216">
        <f t="shared" ref="L44:L45" si="34">TRUNC(F44+H44+J44,1)</f>
        <v>1305.0999999999999</v>
      </c>
      <c r="M44" s="168"/>
    </row>
    <row r="45" spans="1:13" ht="30" customHeight="1">
      <c r="A45" s="212" t="s">
        <v>120</v>
      </c>
      <c r="B45" s="212" t="s">
        <v>188</v>
      </c>
      <c r="C45" s="213" t="s">
        <v>148</v>
      </c>
      <c r="D45" s="214">
        <v>4.0000000000000001E-3</v>
      </c>
      <c r="E45" s="215"/>
      <c r="F45" s="216"/>
      <c r="G45" s="215">
        <f>단가대비표!L7</f>
        <v>148510</v>
      </c>
      <c r="H45" s="216">
        <f t="shared" si="31"/>
        <v>594</v>
      </c>
      <c r="I45" s="215"/>
      <c r="J45" s="216">
        <f t="shared" si="32"/>
        <v>0</v>
      </c>
      <c r="K45" s="215">
        <f t="shared" si="33"/>
        <v>148510</v>
      </c>
      <c r="L45" s="216">
        <f t="shared" si="34"/>
        <v>594</v>
      </c>
      <c r="M45" s="168"/>
    </row>
    <row r="46" spans="1:13" ht="30" customHeight="1">
      <c r="A46" s="212"/>
      <c r="B46" s="212"/>
      <c r="C46" s="213"/>
      <c r="D46" s="214"/>
      <c r="E46" s="215"/>
      <c r="F46" s="216"/>
      <c r="G46" s="215"/>
      <c r="H46" s="216"/>
      <c r="I46" s="215"/>
      <c r="J46" s="216"/>
      <c r="K46" s="215"/>
      <c r="L46" s="216"/>
      <c r="M46" s="168"/>
    </row>
    <row r="47" spans="1:13" ht="30" customHeight="1">
      <c r="A47" s="217" t="s">
        <v>150</v>
      </c>
      <c r="B47" s="217" t="s">
        <v>149</v>
      </c>
      <c r="C47" s="218" t="s">
        <v>149</v>
      </c>
      <c r="D47" s="219"/>
      <c r="E47" s="220"/>
      <c r="F47" s="221">
        <f>SUM(F44:F45)</f>
        <v>0</v>
      </c>
      <c r="G47" s="220"/>
      <c r="H47" s="221">
        <f>SUM(H44:H45)</f>
        <v>1899.1</v>
      </c>
      <c r="I47" s="220"/>
      <c r="J47" s="221">
        <f>SUM(J44:J45)</f>
        <v>0</v>
      </c>
      <c r="K47" s="220"/>
      <c r="L47" s="221">
        <f>SUM(L44:L45)</f>
        <v>1899.1</v>
      </c>
      <c r="M47" s="169" t="s">
        <v>149</v>
      </c>
    </row>
    <row r="48" spans="1:13" ht="30" customHeight="1">
      <c r="A48" s="381" t="s">
        <v>680</v>
      </c>
      <c r="B48" s="382"/>
      <c r="C48" s="208" t="s">
        <v>147</v>
      </c>
      <c r="D48" s="209"/>
      <c r="E48" s="210"/>
      <c r="F48" s="211"/>
      <c r="G48" s="210"/>
      <c r="H48" s="211"/>
      <c r="I48" s="210"/>
      <c r="J48" s="211"/>
      <c r="K48" s="210"/>
      <c r="L48" s="211"/>
      <c r="M48" s="170"/>
    </row>
    <row r="49" spans="1:13" ht="30" customHeight="1">
      <c r="A49" s="212" t="s">
        <v>374</v>
      </c>
      <c r="B49" s="212" t="s">
        <v>519</v>
      </c>
      <c r="C49" s="213" t="s">
        <v>375</v>
      </c>
      <c r="D49" s="214">
        <v>6</v>
      </c>
      <c r="E49" s="215">
        <f>단가대비표!L33</f>
        <v>6300</v>
      </c>
      <c r="F49" s="216">
        <f t="shared" ref="F49:F52" si="35">TRUNC(E49*D49,1)</f>
        <v>37800</v>
      </c>
      <c r="G49" s="215"/>
      <c r="H49" s="216">
        <f t="shared" ref="H49:H54" si="36">TRUNC(G49*D49,1)</f>
        <v>0</v>
      </c>
      <c r="I49" s="215"/>
      <c r="J49" s="216">
        <f t="shared" ref="J49" si="37">TRUNC(I49*D49,1)</f>
        <v>0</v>
      </c>
      <c r="K49" s="215">
        <f t="shared" ref="K49" si="38">TRUNC(E49+G49+I49,1)</f>
        <v>6300</v>
      </c>
      <c r="L49" s="216">
        <f t="shared" ref="L49" si="39">TRUNC(F49+H49+J49,1)</f>
        <v>37800</v>
      </c>
      <c r="M49" s="168"/>
    </row>
    <row r="50" spans="1:13" ht="30" customHeight="1">
      <c r="A50" s="212" t="s">
        <v>376</v>
      </c>
      <c r="B50" s="212"/>
      <c r="C50" s="213" t="s">
        <v>377</v>
      </c>
      <c r="D50" s="214">
        <v>0.06</v>
      </c>
      <c r="E50" s="215">
        <f>단가대비표!L60</f>
        <v>1075</v>
      </c>
      <c r="F50" s="216">
        <f t="shared" si="35"/>
        <v>64.5</v>
      </c>
      <c r="G50" s="215"/>
      <c r="H50" s="216">
        <f t="shared" si="36"/>
        <v>0</v>
      </c>
      <c r="I50" s="215"/>
      <c r="J50" s="216">
        <f t="shared" ref="J50:J53" si="40">TRUNC(I50*D50,1)</f>
        <v>0</v>
      </c>
      <c r="K50" s="215">
        <f t="shared" ref="K50:K53" si="41">TRUNC(E50+G50+I50,1)</f>
        <v>1075</v>
      </c>
      <c r="L50" s="216">
        <f t="shared" ref="L50:L53" si="42">TRUNC(F50+H50+J50,1)</f>
        <v>64.5</v>
      </c>
      <c r="M50" s="168"/>
    </row>
    <row r="51" spans="1:13" ht="30" customHeight="1">
      <c r="A51" s="212" t="s">
        <v>120</v>
      </c>
      <c r="B51" s="212" t="s">
        <v>179</v>
      </c>
      <c r="C51" s="213" t="s">
        <v>148</v>
      </c>
      <c r="D51" s="214">
        <v>0.11</v>
      </c>
      <c r="E51" s="215"/>
      <c r="F51" s="216">
        <f t="shared" si="35"/>
        <v>0</v>
      </c>
      <c r="G51" s="215">
        <f>단가대비표!L3</f>
        <v>237273</v>
      </c>
      <c r="H51" s="216">
        <f t="shared" si="36"/>
        <v>26100</v>
      </c>
      <c r="I51" s="215"/>
      <c r="J51" s="216">
        <f t="shared" si="40"/>
        <v>0</v>
      </c>
      <c r="K51" s="215">
        <f t="shared" si="41"/>
        <v>237273</v>
      </c>
      <c r="L51" s="216">
        <f t="shared" si="42"/>
        <v>26100</v>
      </c>
      <c r="M51" s="168"/>
    </row>
    <row r="52" spans="1:13" ht="30" customHeight="1">
      <c r="A52" s="212" t="s">
        <v>120</v>
      </c>
      <c r="B52" s="212" t="s">
        <v>189</v>
      </c>
      <c r="C52" s="213" t="s">
        <v>148</v>
      </c>
      <c r="D52" s="214">
        <v>0.03</v>
      </c>
      <c r="E52" s="215"/>
      <c r="F52" s="216">
        <f t="shared" si="35"/>
        <v>0</v>
      </c>
      <c r="G52" s="215">
        <f>단가대비표!L7</f>
        <v>148510</v>
      </c>
      <c r="H52" s="216">
        <f t="shared" si="36"/>
        <v>4455.3</v>
      </c>
      <c r="I52" s="215"/>
      <c r="J52" s="216">
        <f t="shared" si="40"/>
        <v>0</v>
      </c>
      <c r="K52" s="215">
        <f t="shared" si="41"/>
        <v>148510</v>
      </c>
      <c r="L52" s="216">
        <f t="shared" si="42"/>
        <v>4455.3</v>
      </c>
      <c r="M52" s="168"/>
    </row>
    <row r="53" spans="1:13" ht="30" customHeight="1">
      <c r="A53" s="212" t="s">
        <v>219</v>
      </c>
      <c r="B53" s="212" t="s">
        <v>400</v>
      </c>
      <c r="C53" s="213" t="s">
        <v>220</v>
      </c>
      <c r="D53" s="214">
        <v>1</v>
      </c>
      <c r="E53" s="215">
        <f>(H52+H51)*3%</f>
        <v>916.65899999999999</v>
      </c>
      <c r="F53" s="216">
        <f t="shared" ref="F53:F54" si="43">TRUNC(E53*D53,1)</f>
        <v>916.6</v>
      </c>
      <c r="G53" s="215"/>
      <c r="H53" s="216">
        <f t="shared" si="36"/>
        <v>0</v>
      </c>
      <c r="I53" s="215"/>
      <c r="J53" s="216">
        <f t="shared" si="40"/>
        <v>0</v>
      </c>
      <c r="K53" s="215">
        <f t="shared" si="41"/>
        <v>916.6</v>
      </c>
      <c r="L53" s="216">
        <f t="shared" si="42"/>
        <v>916.6</v>
      </c>
      <c r="M53" s="168"/>
    </row>
    <row r="54" spans="1:13" ht="30" customHeight="1">
      <c r="A54" s="212" t="s">
        <v>401</v>
      </c>
      <c r="B54" s="212" t="s">
        <v>402</v>
      </c>
      <c r="C54" s="213" t="s">
        <v>220</v>
      </c>
      <c r="D54" s="214">
        <v>1</v>
      </c>
      <c r="E54" s="215">
        <f>(F49+F50)*5%</f>
        <v>1893.2250000000001</v>
      </c>
      <c r="F54" s="216">
        <f t="shared" si="43"/>
        <v>1893.2</v>
      </c>
      <c r="G54" s="215"/>
      <c r="H54" s="216">
        <f t="shared" si="36"/>
        <v>0</v>
      </c>
      <c r="I54" s="215"/>
      <c r="J54" s="216">
        <f t="shared" ref="J54" si="44">TRUNC(I54*D54,1)</f>
        <v>0</v>
      </c>
      <c r="K54" s="215">
        <f t="shared" ref="K54" si="45">TRUNC(E54+G54+I54,1)</f>
        <v>1893.2</v>
      </c>
      <c r="L54" s="216">
        <f t="shared" ref="L54" si="46">TRUNC(F54+H54+J54,1)</f>
        <v>1893.2</v>
      </c>
      <c r="M54" s="168"/>
    </row>
    <row r="55" spans="1:13" ht="30" customHeight="1">
      <c r="A55" s="212"/>
      <c r="B55" s="212"/>
      <c r="C55" s="213"/>
      <c r="D55" s="214"/>
      <c r="E55" s="215"/>
      <c r="F55" s="216"/>
      <c r="G55" s="215"/>
      <c r="H55" s="216"/>
      <c r="I55" s="215"/>
      <c r="J55" s="216"/>
      <c r="K55" s="215"/>
      <c r="L55" s="216"/>
      <c r="M55" s="168"/>
    </row>
    <row r="56" spans="1:13" ht="30" customHeight="1">
      <c r="A56" s="217" t="s">
        <v>150</v>
      </c>
      <c r="B56" s="217" t="s">
        <v>149</v>
      </c>
      <c r="C56" s="218" t="s">
        <v>149</v>
      </c>
      <c r="D56" s="219"/>
      <c r="E56" s="220"/>
      <c r="F56" s="221">
        <f>SUM(F49:F55)</f>
        <v>40674.299999999996</v>
      </c>
      <c r="G56" s="220"/>
      <c r="H56" s="221">
        <f>SUM(H49:H55)</f>
        <v>30555.3</v>
      </c>
      <c r="I56" s="220"/>
      <c r="J56" s="221">
        <f>SUM(J49:J55)</f>
        <v>0</v>
      </c>
      <c r="K56" s="220"/>
      <c r="L56" s="221">
        <f>SUM(L49:L55)</f>
        <v>71229.600000000006</v>
      </c>
      <c r="M56" s="169" t="s">
        <v>149</v>
      </c>
    </row>
    <row r="57" spans="1:13" ht="30" customHeight="1">
      <c r="A57" s="381" t="s">
        <v>681</v>
      </c>
      <c r="B57" s="382"/>
      <c r="C57" s="208" t="s">
        <v>147</v>
      </c>
      <c r="D57" s="209"/>
      <c r="E57" s="210"/>
      <c r="F57" s="211"/>
      <c r="G57" s="210"/>
      <c r="H57" s="211"/>
      <c r="I57" s="210"/>
      <c r="J57" s="211"/>
      <c r="K57" s="210"/>
      <c r="L57" s="211"/>
      <c r="M57" s="170"/>
    </row>
    <row r="58" spans="1:13" ht="30" customHeight="1">
      <c r="A58" s="212" t="s">
        <v>635</v>
      </c>
      <c r="B58" s="212" t="s">
        <v>337</v>
      </c>
      <c r="C58" s="213" t="s">
        <v>176</v>
      </c>
      <c r="D58" s="214">
        <v>1.05</v>
      </c>
      <c r="E58" s="215">
        <f>단가대비표!L72</f>
        <v>4548.6111111111113</v>
      </c>
      <c r="F58" s="216">
        <f t="shared" ref="F58:F60" si="47">TRUNC(E58*D58,1)</f>
        <v>4776</v>
      </c>
      <c r="G58" s="215"/>
      <c r="H58" s="216">
        <f t="shared" ref="H58:H62" si="48">TRUNC(G58*D58,1)</f>
        <v>0</v>
      </c>
      <c r="I58" s="215"/>
      <c r="J58" s="216">
        <f t="shared" ref="J58:J63" si="49">TRUNC(I58*D58,1)</f>
        <v>0</v>
      </c>
      <c r="K58" s="215">
        <f t="shared" ref="K58:K63" si="50">TRUNC(E58+G58+I58,1)</f>
        <v>4548.6000000000004</v>
      </c>
      <c r="L58" s="216">
        <f t="shared" ref="L58:L63" si="51">TRUNC(F58+H58+J58,1)</f>
        <v>4776</v>
      </c>
      <c r="M58" s="168"/>
    </row>
    <row r="59" spans="1:13" ht="30" customHeight="1">
      <c r="A59" s="212" t="s">
        <v>376</v>
      </c>
      <c r="B59" s="212"/>
      <c r="C59" s="213" t="s">
        <v>377</v>
      </c>
      <c r="D59" s="214">
        <v>0.06</v>
      </c>
      <c r="E59" s="215">
        <f>단가대비표!L60</f>
        <v>1075</v>
      </c>
      <c r="F59" s="216">
        <f t="shared" si="47"/>
        <v>64.5</v>
      </c>
      <c r="G59" s="215"/>
      <c r="H59" s="216">
        <f t="shared" si="48"/>
        <v>0</v>
      </c>
      <c r="I59" s="215"/>
      <c r="J59" s="216">
        <f t="shared" si="49"/>
        <v>0</v>
      </c>
      <c r="K59" s="215">
        <f t="shared" si="50"/>
        <v>1075</v>
      </c>
      <c r="L59" s="216">
        <f t="shared" si="51"/>
        <v>64.5</v>
      </c>
      <c r="M59" s="168"/>
    </row>
    <row r="60" spans="1:13" ht="30" customHeight="1">
      <c r="A60" s="212" t="s">
        <v>205</v>
      </c>
      <c r="B60" s="212" t="s">
        <v>226</v>
      </c>
      <c r="C60" s="213" t="s">
        <v>186</v>
      </c>
      <c r="D60" s="214">
        <v>0.27</v>
      </c>
      <c r="E60" s="215">
        <f>단가대비표!L40</f>
        <v>3500</v>
      </c>
      <c r="F60" s="216">
        <f t="shared" si="47"/>
        <v>945</v>
      </c>
      <c r="G60" s="215"/>
      <c r="H60" s="216">
        <f t="shared" si="48"/>
        <v>0</v>
      </c>
      <c r="I60" s="215"/>
      <c r="J60" s="216">
        <f t="shared" si="49"/>
        <v>0</v>
      </c>
      <c r="K60" s="215">
        <f t="shared" si="50"/>
        <v>3500</v>
      </c>
      <c r="L60" s="216">
        <f t="shared" si="51"/>
        <v>945</v>
      </c>
      <c r="M60" s="168"/>
    </row>
    <row r="61" spans="1:13" ht="30" customHeight="1">
      <c r="A61" s="212" t="s">
        <v>120</v>
      </c>
      <c r="B61" s="212" t="s">
        <v>179</v>
      </c>
      <c r="C61" s="213" t="s">
        <v>148</v>
      </c>
      <c r="D61" s="214">
        <v>6.5000000000000002E-2</v>
      </c>
      <c r="E61" s="215"/>
      <c r="F61" s="216"/>
      <c r="G61" s="215">
        <f>단가대비표!L3</f>
        <v>237273</v>
      </c>
      <c r="H61" s="216">
        <f t="shared" si="48"/>
        <v>15422.7</v>
      </c>
      <c r="I61" s="215"/>
      <c r="J61" s="216">
        <f t="shared" si="49"/>
        <v>0</v>
      </c>
      <c r="K61" s="215">
        <f t="shared" si="50"/>
        <v>237273</v>
      </c>
      <c r="L61" s="216">
        <f t="shared" si="51"/>
        <v>15422.7</v>
      </c>
      <c r="M61" s="168"/>
    </row>
    <row r="62" spans="1:13" ht="30" customHeight="1">
      <c r="A62" s="212" t="s">
        <v>120</v>
      </c>
      <c r="B62" s="212" t="s">
        <v>188</v>
      </c>
      <c r="C62" s="213" t="s">
        <v>148</v>
      </c>
      <c r="D62" s="214">
        <v>7.0000000000000001E-3</v>
      </c>
      <c r="E62" s="215"/>
      <c r="F62" s="216"/>
      <c r="G62" s="215">
        <f>단가대비표!L7</f>
        <v>148510</v>
      </c>
      <c r="H62" s="216">
        <f t="shared" si="48"/>
        <v>1039.5</v>
      </c>
      <c r="I62" s="215"/>
      <c r="J62" s="216">
        <f t="shared" si="49"/>
        <v>0</v>
      </c>
      <c r="K62" s="215">
        <f t="shared" si="50"/>
        <v>148510</v>
      </c>
      <c r="L62" s="216">
        <f t="shared" si="51"/>
        <v>1039.5</v>
      </c>
      <c r="M62" s="168"/>
    </row>
    <row r="63" spans="1:13" ht="30" customHeight="1">
      <c r="A63" s="212" t="s">
        <v>219</v>
      </c>
      <c r="B63" s="212" t="s">
        <v>213</v>
      </c>
      <c r="C63" s="213" t="s">
        <v>220</v>
      </c>
      <c r="D63" s="214">
        <v>1</v>
      </c>
      <c r="E63" s="215">
        <f>(H62+H61)*2%</f>
        <v>329.24400000000003</v>
      </c>
      <c r="F63" s="216">
        <f t="shared" ref="F63" si="52">TRUNC(E63*D63,1)</f>
        <v>329.2</v>
      </c>
      <c r="G63" s="215"/>
      <c r="H63" s="216"/>
      <c r="I63" s="215"/>
      <c r="J63" s="216">
        <f t="shared" si="49"/>
        <v>0</v>
      </c>
      <c r="K63" s="215">
        <f t="shared" si="50"/>
        <v>329.2</v>
      </c>
      <c r="L63" s="216">
        <f t="shared" si="51"/>
        <v>329.2</v>
      </c>
      <c r="M63" s="168"/>
    </row>
    <row r="64" spans="1:13" ht="30" customHeight="1">
      <c r="A64" s="212"/>
      <c r="B64" s="212"/>
      <c r="C64" s="213"/>
      <c r="D64" s="214"/>
      <c r="E64" s="215"/>
      <c r="F64" s="216"/>
      <c r="G64" s="215"/>
      <c r="H64" s="216"/>
      <c r="I64" s="215"/>
      <c r="J64" s="216"/>
      <c r="K64" s="215"/>
      <c r="L64" s="216"/>
      <c r="M64" s="168"/>
    </row>
    <row r="65" spans="1:13" ht="30" customHeight="1">
      <c r="A65" s="217" t="s">
        <v>150</v>
      </c>
      <c r="B65" s="217" t="s">
        <v>149</v>
      </c>
      <c r="C65" s="218" t="s">
        <v>149</v>
      </c>
      <c r="D65" s="219"/>
      <c r="E65" s="220"/>
      <c r="F65" s="221">
        <f>SUM(F58:F64)</f>
        <v>6114.7</v>
      </c>
      <c r="G65" s="220"/>
      <c r="H65" s="221">
        <f>SUM(H58:H64)</f>
        <v>16462.2</v>
      </c>
      <c r="I65" s="220"/>
      <c r="J65" s="221">
        <f>SUM(J58:J64)</f>
        <v>0</v>
      </c>
      <c r="K65" s="220"/>
      <c r="L65" s="221">
        <f>SUM(L58:L64)</f>
        <v>22576.9</v>
      </c>
      <c r="M65" s="169" t="s">
        <v>149</v>
      </c>
    </row>
    <row r="66" spans="1:13" ht="30" customHeight="1">
      <c r="A66" s="381" t="s">
        <v>682</v>
      </c>
      <c r="B66" s="382"/>
      <c r="C66" s="208" t="s">
        <v>147</v>
      </c>
      <c r="D66" s="209"/>
      <c r="E66" s="210"/>
      <c r="F66" s="211"/>
      <c r="G66" s="210"/>
      <c r="H66" s="211"/>
      <c r="I66" s="210"/>
      <c r="J66" s="211"/>
      <c r="K66" s="210"/>
      <c r="L66" s="211"/>
      <c r="M66" s="170"/>
    </row>
    <row r="67" spans="1:13" ht="30" customHeight="1">
      <c r="A67" s="212" t="s">
        <v>620</v>
      </c>
      <c r="B67" s="212" t="s">
        <v>621</v>
      </c>
      <c r="C67" s="213" t="s">
        <v>176</v>
      </c>
      <c r="D67" s="214">
        <v>1.05</v>
      </c>
      <c r="E67" s="215">
        <f>단가대비표!L77</f>
        <v>13000</v>
      </c>
      <c r="F67" s="216">
        <f>TRUNC(E67*D67,1)</f>
        <v>13650</v>
      </c>
      <c r="G67" s="215"/>
      <c r="H67" s="216">
        <f t="shared" ref="H67:H70" si="53">TRUNC(G67*D67,1)</f>
        <v>0</v>
      </c>
      <c r="I67" s="215"/>
      <c r="J67" s="216">
        <f t="shared" ref="J67:J71" si="54">TRUNC(I67*D67,1)</f>
        <v>0</v>
      </c>
      <c r="K67" s="215">
        <f t="shared" ref="K67:K71" si="55">TRUNC(E67+G67+I67,1)</f>
        <v>13000</v>
      </c>
      <c r="L67" s="216">
        <f t="shared" ref="L67:L71" si="56">TRUNC(F67+H67+J67,1)</f>
        <v>13650</v>
      </c>
      <c r="M67" s="168"/>
    </row>
    <row r="68" spans="1:13" ht="30" customHeight="1">
      <c r="A68" s="212" t="s">
        <v>205</v>
      </c>
      <c r="B68" s="212" t="s">
        <v>440</v>
      </c>
      <c r="C68" s="213" t="s">
        <v>186</v>
      </c>
      <c r="D68" s="214">
        <v>0.45</v>
      </c>
      <c r="E68" s="215">
        <f>단가대비표!L34</f>
        <v>275</v>
      </c>
      <c r="F68" s="216">
        <f t="shared" ref="F68" si="57">TRUNC(E68*D68,1)</f>
        <v>123.7</v>
      </c>
      <c r="G68" s="215"/>
      <c r="H68" s="216">
        <f t="shared" si="53"/>
        <v>0</v>
      </c>
      <c r="I68" s="215"/>
      <c r="J68" s="216">
        <f t="shared" si="54"/>
        <v>0</v>
      </c>
      <c r="K68" s="215">
        <f t="shared" si="55"/>
        <v>275</v>
      </c>
      <c r="L68" s="216">
        <f t="shared" si="56"/>
        <v>123.7</v>
      </c>
      <c r="M68" s="168"/>
    </row>
    <row r="69" spans="1:13" ht="30" customHeight="1">
      <c r="A69" s="212" t="s">
        <v>120</v>
      </c>
      <c r="B69" s="212" t="s">
        <v>206</v>
      </c>
      <c r="C69" s="213" t="s">
        <v>148</v>
      </c>
      <c r="D69" s="214">
        <v>5.2999999999999999E-2</v>
      </c>
      <c r="E69" s="215"/>
      <c r="F69" s="216"/>
      <c r="G69" s="215">
        <f>단가대비표!L4</f>
        <v>217517</v>
      </c>
      <c r="H69" s="216">
        <f t="shared" si="53"/>
        <v>11528.4</v>
      </c>
      <c r="I69" s="215"/>
      <c r="J69" s="216">
        <f t="shared" si="54"/>
        <v>0</v>
      </c>
      <c r="K69" s="215">
        <f t="shared" si="55"/>
        <v>217517</v>
      </c>
      <c r="L69" s="216">
        <f t="shared" si="56"/>
        <v>11528.4</v>
      </c>
      <c r="M69" s="168"/>
    </row>
    <row r="70" spans="1:13" ht="30" customHeight="1">
      <c r="A70" s="212" t="s">
        <v>120</v>
      </c>
      <c r="B70" s="212" t="s">
        <v>188</v>
      </c>
      <c r="C70" s="213" t="s">
        <v>148</v>
      </c>
      <c r="D70" s="214">
        <v>0.02</v>
      </c>
      <c r="E70" s="215"/>
      <c r="F70" s="216"/>
      <c r="G70" s="215">
        <f>단가대비표!L7</f>
        <v>148510</v>
      </c>
      <c r="H70" s="216">
        <f t="shared" si="53"/>
        <v>2970.2</v>
      </c>
      <c r="I70" s="215"/>
      <c r="J70" s="216">
        <f t="shared" si="54"/>
        <v>0</v>
      </c>
      <c r="K70" s="215">
        <f t="shared" si="55"/>
        <v>148510</v>
      </c>
      <c r="L70" s="216">
        <f t="shared" si="56"/>
        <v>2970.2</v>
      </c>
      <c r="M70" s="168"/>
    </row>
    <row r="71" spans="1:13" ht="30" customHeight="1">
      <c r="A71" s="212" t="s">
        <v>219</v>
      </c>
      <c r="B71" s="212" t="s">
        <v>213</v>
      </c>
      <c r="C71" s="213" t="s">
        <v>220</v>
      </c>
      <c r="D71" s="214">
        <v>1</v>
      </c>
      <c r="E71" s="215">
        <f>(H70+H69)*2%</f>
        <v>289.97199999999998</v>
      </c>
      <c r="F71" s="216">
        <f t="shared" ref="F71" si="58">TRUNC(E71*D71,1)</f>
        <v>289.89999999999998</v>
      </c>
      <c r="G71" s="215"/>
      <c r="H71" s="216"/>
      <c r="I71" s="215"/>
      <c r="J71" s="216">
        <f t="shared" si="54"/>
        <v>0</v>
      </c>
      <c r="K71" s="215">
        <f t="shared" si="55"/>
        <v>289.89999999999998</v>
      </c>
      <c r="L71" s="216">
        <f t="shared" si="56"/>
        <v>289.89999999999998</v>
      </c>
      <c r="M71" s="168"/>
    </row>
    <row r="72" spans="1:13" ht="30" customHeight="1">
      <c r="A72" s="212"/>
      <c r="B72" s="212"/>
      <c r="C72" s="213"/>
      <c r="D72" s="214"/>
      <c r="E72" s="215"/>
      <c r="F72" s="216"/>
      <c r="G72" s="215"/>
      <c r="H72" s="216"/>
      <c r="I72" s="215"/>
      <c r="J72" s="216"/>
      <c r="K72" s="215"/>
      <c r="L72" s="216"/>
      <c r="M72" s="168"/>
    </row>
    <row r="73" spans="1:13" ht="30" customHeight="1">
      <c r="A73" s="217" t="s">
        <v>150</v>
      </c>
      <c r="B73" s="217" t="s">
        <v>149</v>
      </c>
      <c r="C73" s="218" t="s">
        <v>149</v>
      </c>
      <c r="D73" s="219"/>
      <c r="E73" s="220"/>
      <c r="F73" s="221">
        <f>SUM(F67:F72)</f>
        <v>14063.6</v>
      </c>
      <c r="G73" s="220"/>
      <c r="H73" s="221">
        <f>SUM(H67:H72)</f>
        <v>14498.599999999999</v>
      </c>
      <c r="I73" s="220"/>
      <c r="J73" s="221">
        <f>SUM(J67:J72)</f>
        <v>0</v>
      </c>
      <c r="K73" s="220"/>
      <c r="L73" s="221">
        <f>SUM(L67:L72)</f>
        <v>28562.2</v>
      </c>
      <c r="M73" s="169" t="s">
        <v>149</v>
      </c>
    </row>
    <row r="74" spans="1:13" ht="30" customHeight="1">
      <c r="A74" s="381" t="s">
        <v>683</v>
      </c>
      <c r="B74" s="382"/>
      <c r="C74" s="208" t="s">
        <v>147</v>
      </c>
      <c r="D74" s="209"/>
      <c r="E74" s="210"/>
      <c r="F74" s="211"/>
      <c r="G74" s="210"/>
      <c r="H74" s="211"/>
      <c r="I74" s="210"/>
      <c r="J74" s="211"/>
      <c r="K74" s="210"/>
      <c r="L74" s="211"/>
      <c r="M74" s="170"/>
    </row>
    <row r="75" spans="1:13" ht="30" customHeight="1">
      <c r="A75" s="212" t="s">
        <v>626</v>
      </c>
      <c r="B75" s="212" t="s">
        <v>627</v>
      </c>
      <c r="C75" s="213" t="s">
        <v>176</v>
      </c>
      <c r="D75" s="214">
        <v>1.05</v>
      </c>
      <c r="E75" s="215">
        <f>단가대비표!L68</f>
        <v>8100</v>
      </c>
      <c r="F75" s="216">
        <f>TRUNC(E75*D75,1)</f>
        <v>8505</v>
      </c>
      <c r="G75" s="215"/>
      <c r="H75" s="216">
        <f t="shared" ref="H75:H77" si="59">TRUNC(G75*D75,1)</f>
        <v>0</v>
      </c>
      <c r="I75" s="215"/>
      <c r="J75" s="216">
        <f t="shared" ref="J75:J79" si="60">TRUNC(I75*D75,1)</f>
        <v>0</v>
      </c>
      <c r="K75" s="215">
        <f t="shared" ref="K75:K79" si="61">TRUNC(E75+G75+I75,1)</f>
        <v>8100</v>
      </c>
      <c r="L75" s="216">
        <f t="shared" ref="L75:L79" si="62">TRUNC(F75+H75+J75,1)</f>
        <v>8505</v>
      </c>
      <c r="M75" s="168"/>
    </row>
    <row r="76" spans="1:13" ht="30" customHeight="1">
      <c r="A76" s="212" t="s">
        <v>120</v>
      </c>
      <c r="B76" s="212" t="s">
        <v>206</v>
      </c>
      <c r="C76" s="213" t="s">
        <v>148</v>
      </c>
      <c r="D76" s="214">
        <v>0.05</v>
      </c>
      <c r="E76" s="215"/>
      <c r="F76" s="216"/>
      <c r="G76" s="215">
        <f>단가대비표!L4</f>
        <v>217517</v>
      </c>
      <c r="H76" s="216">
        <f t="shared" si="59"/>
        <v>10875.8</v>
      </c>
      <c r="I76" s="215"/>
      <c r="J76" s="216">
        <f t="shared" si="60"/>
        <v>0</v>
      </c>
      <c r="K76" s="215">
        <f t="shared" si="61"/>
        <v>217517</v>
      </c>
      <c r="L76" s="216">
        <f t="shared" si="62"/>
        <v>10875.8</v>
      </c>
      <c r="M76" s="168"/>
    </row>
    <row r="77" spans="1:13" ht="30" customHeight="1">
      <c r="A77" s="212" t="s">
        <v>120</v>
      </c>
      <c r="B77" s="212" t="s">
        <v>188</v>
      </c>
      <c r="C77" s="213" t="s">
        <v>148</v>
      </c>
      <c r="D77" s="214">
        <v>0.01</v>
      </c>
      <c r="E77" s="215"/>
      <c r="F77" s="216"/>
      <c r="G77" s="215">
        <f>단가대비표!L7</f>
        <v>148510</v>
      </c>
      <c r="H77" s="216">
        <f t="shared" si="59"/>
        <v>1485.1</v>
      </c>
      <c r="I77" s="215"/>
      <c r="J77" s="216">
        <f t="shared" si="60"/>
        <v>0</v>
      </c>
      <c r="K77" s="215">
        <f t="shared" si="61"/>
        <v>148510</v>
      </c>
      <c r="L77" s="216">
        <f t="shared" si="62"/>
        <v>1485.1</v>
      </c>
      <c r="M77" s="168"/>
    </row>
    <row r="78" spans="1:13" ht="30" customHeight="1">
      <c r="A78" s="212" t="s">
        <v>460</v>
      </c>
      <c r="B78" s="212" t="s">
        <v>461</v>
      </c>
      <c r="C78" s="213" t="s">
        <v>220</v>
      </c>
      <c r="D78" s="214">
        <v>1</v>
      </c>
      <c r="E78" s="215">
        <f>F75*3%</f>
        <v>255.14999999999998</v>
      </c>
      <c r="F78" s="216">
        <f>TRUNC(E78*D78,1)</f>
        <v>255.1</v>
      </c>
      <c r="G78" s="215"/>
      <c r="H78" s="216"/>
      <c r="I78" s="215"/>
      <c r="J78" s="216">
        <f t="shared" si="60"/>
        <v>0</v>
      </c>
      <c r="K78" s="215">
        <f t="shared" si="61"/>
        <v>255.1</v>
      </c>
      <c r="L78" s="216">
        <f t="shared" si="62"/>
        <v>255.1</v>
      </c>
      <c r="M78" s="168"/>
    </row>
    <row r="79" spans="1:13" ht="30" customHeight="1">
      <c r="A79" s="212" t="s">
        <v>219</v>
      </c>
      <c r="B79" s="212" t="s">
        <v>213</v>
      </c>
      <c r="C79" s="213" t="s">
        <v>220</v>
      </c>
      <c r="D79" s="214">
        <v>1</v>
      </c>
      <c r="E79" s="215">
        <f>(H77+H76)*2%</f>
        <v>247.21799999999999</v>
      </c>
      <c r="F79" s="216">
        <f t="shared" ref="F79" si="63">TRUNC(E79*D79,1)</f>
        <v>247.2</v>
      </c>
      <c r="G79" s="215"/>
      <c r="H79" s="216"/>
      <c r="I79" s="215"/>
      <c r="J79" s="216">
        <f t="shared" si="60"/>
        <v>0</v>
      </c>
      <c r="K79" s="215">
        <f t="shared" si="61"/>
        <v>247.2</v>
      </c>
      <c r="L79" s="216">
        <f t="shared" si="62"/>
        <v>247.2</v>
      </c>
      <c r="M79" s="168"/>
    </row>
    <row r="80" spans="1:13" ht="30" customHeight="1">
      <c r="A80" s="212"/>
      <c r="B80" s="212"/>
      <c r="C80" s="213"/>
      <c r="D80" s="214"/>
      <c r="E80" s="215"/>
      <c r="F80" s="216"/>
      <c r="G80" s="215"/>
      <c r="H80" s="216"/>
      <c r="I80" s="215"/>
      <c r="J80" s="216"/>
      <c r="K80" s="215"/>
      <c r="L80" s="216"/>
      <c r="M80" s="168"/>
    </row>
    <row r="81" spans="1:13" ht="30" customHeight="1">
      <c r="A81" s="217" t="s">
        <v>150</v>
      </c>
      <c r="B81" s="217" t="s">
        <v>149</v>
      </c>
      <c r="C81" s="218" t="s">
        <v>149</v>
      </c>
      <c r="D81" s="219"/>
      <c r="E81" s="220"/>
      <c r="F81" s="221">
        <f>SUM(F75:F80)</f>
        <v>9007.3000000000011</v>
      </c>
      <c r="G81" s="220"/>
      <c r="H81" s="221">
        <f>SUM(H75:H80)</f>
        <v>12360.9</v>
      </c>
      <c r="I81" s="220"/>
      <c r="J81" s="221">
        <f>SUM(J75:J80)</f>
        <v>0</v>
      </c>
      <c r="K81" s="220"/>
      <c r="L81" s="221">
        <f>SUM(L75:L80)</f>
        <v>21368.199999999997</v>
      </c>
      <c r="M81" s="169" t="s">
        <v>149</v>
      </c>
    </row>
    <row r="82" spans="1:13" ht="30" customHeight="1">
      <c r="A82" s="381" t="s">
        <v>684</v>
      </c>
      <c r="B82" s="382"/>
      <c r="C82" s="208" t="s">
        <v>147</v>
      </c>
      <c r="D82" s="209"/>
      <c r="E82" s="210"/>
      <c r="F82" s="211"/>
      <c r="G82" s="210"/>
      <c r="H82" s="211"/>
      <c r="I82" s="210"/>
      <c r="J82" s="211"/>
      <c r="K82" s="210"/>
      <c r="L82" s="211"/>
      <c r="M82" s="170"/>
    </row>
    <row r="83" spans="1:13" ht="30" customHeight="1">
      <c r="A83" s="212" t="s">
        <v>521</v>
      </c>
      <c r="B83" s="212" t="s">
        <v>522</v>
      </c>
      <c r="C83" s="213" t="s">
        <v>176</v>
      </c>
      <c r="D83" s="214">
        <v>2.1</v>
      </c>
      <c r="E83" s="215">
        <f>단가대비표!L44</f>
        <v>2407.4074074074074</v>
      </c>
      <c r="F83" s="216">
        <f>TRUNC(E83*D83,1)</f>
        <v>5055.5</v>
      </c>
      <c r="G83" s="215"/>
      <c r="H83" s="216">
        <f t="shared" ref="H83:H85" si="64">TRUNC(G83*D83,1)</f>
        <v>0</v>
      </c>
      <c r="I83" s="215"/>
      <c r="J83" s="216">
        <f t="shared" ref="J83:J87" si="65">TRUNC(I83*D83,1)</f>
        <v>0</v>
      </c>
      <c r="K83" s="215">
        <f t="shared" ref="K83:K87" si="66">TRUNC(E83+G83+I83,1)</f>
        <v>2407.4</v>
      </c>
      <c r="L83" s="216">
        <f t="shared" ref="L83:L87" si="67">TRUNC(F83+H83+J83,1)</f>
        <v>5055.5</v>
      </c>
      <c r="M83" s="168"/>
    </row>
    <row r="84" spans="1:13" ht="30" customHeight="1">
      <c r="A84" s="212" t="s">
        <v>120</v>
      </c>
      <c r="B84" s="212" t="s">
        <v>206</v>
      </c>
      <c r="C84" s="213" t="s">
        <v>148</v>
      </c>
      <c r="D84" s="214">
        <v>8.5999999999999993E-2</v>
      </c>
      <c r="E84" s="215"/>
      <c r="F84" s="216"/>
      <c r="G84" s="215">
        <f>단가대비표!L4</f>
        <v>217517</v>
      </c>
      <c r="H84" s="216">
        <f t="shared" si="64"/>
        <v>18706.400000000001</v>
      </c>
      <c r="I84" s="215"/>
      <c r="J84" s="216">
        <f t="shared" si="65"/>
        <v>0</v>
      </c>
      <c r="K84" s="215">
        <f t="shared" si="66"/>
        <v>217517</v>
      </c>
      <c r="L84" s="216">
        <f t="shared" si="67"/>
        <v>18706.400000000001</v>
      </c>
      <c r="M84" s="168"/>
    </row>
    <row r="85" spans="1:13" ht="30" customHeight="1">
      <c r="A85" s="212" t="s">
        <v>120</v>
      </c>
      <c r="B85" s="212" t="s">
        <v>188</v>
      </c>
      <c r="C85" s="213" t="s">
        <v>148</v>
      </c>
      <c r="D85" s="214">
        <v>4.2000000000000003E-2</v>
      </c>
      <c r="E85" s="215"/>
      <c r="F85" s="216"/>
      <c r="G85" s="215">
        <f>단가대비표!L7</f>
        <v>148510</v>
      </c>
      <c r="H85" s="216">
        <f t="shared" si="64"/>
        <v>6237.4</v>
      </c>
      <c r="I85" s="215"/>
      <c r="J85" s="216">
        <f t="shared" si="65"/>
        <v>0</v>
      </c>
      <c r="K85" s="215">
        <f t="shared" si="66"/>
        <v>148510</v>
      </c>
      <c r="L85" s="216">
        <f t="shared" si="67"/>
        <v>6237.4</v>
      </c>
      <c r="M85" s="168"/>
    </row>
    <row r="86" spans="1:13" ht="30" customHeight="1">
      <c r="A86" s="212" t="s">
        <v>460</v>
      </c>
      <c r="B86" s="212" t="s">
        <v>461</v>
      </c>
      <c r="C86" s="213" t="s">
        <v>220</v>
      </c>
      <c r="D86" s="214">
        <v>1</v>
      </c>
      <c r="E86" s="215">
        <f>F83*3%</f>
        <v>151.66499999999999</v>
      </c>
      <c r="F86" s="216">
        <f>TRUNC(E86*D86,1)</f>
        <v>151.6</v>
      </c>
      <c r="G86" s="215"/>
      <c r="H86" s="216"/>
      <c r="I86" s="215"/>
      <c r="J86" s="216">
        <f t="shared" si="65"/>
        <v>0</v>
      </c>
      <c r="K86" s="215">
        <f t="shared" si="66"/>
        <v>151.6</v>
      </c>
      <c r="L86" s="216">
        <f t="shared" si="67"/>
        <v>151.6</v>
      </c>
      <c r="M86" s="168"/>
    </row>
    <row r="87" spans="1:13" ht="30" customHeight="1">
      <c r="A87" s="212" t="s">
        <v>219</v>
      </c>
      <c r="B87" s="212" t="s">
        <v>459</v>
      </c>
      <c r="C87" s="213" t="s">
        <v>220</v>
      </c>
      <c r="D87" s="214">
        <v>1</v>
      </c>
      <c r="E87" s="215">
        <f>(H85+H84)*3%</f>
        <v>748.31400000000008</v>
      </c>
      <c r="F87" s="216">
        <f t="shared" ref="F87" si="68">TRUNC(E87*D87,1)</f>
        <v>748.3</v>
      </c>
      <c r="G87" s="215"/>
      <c r="H87" s="216"/>
      <c r="I87" s="215"/>
      <c r="J87" s="216">
        <f t="shared" si="65"/>
        <v>0</v>
      </c>
      <c r="K87" s="215">
        <f t="shared" si="66"/>
        <v>748.3</v>
      </c>
      <c r="L87" s="216">
        <f t="shared" si="67"/>
        <v>748.3</v>
      </c>
      <c r="M87" s="168"/>
    </row>
    <row r="88" spans="1:13" ht="30" customHeight="1">
      <c r="A88" s="212"/>
      <c r="B88" s="212"/>
      <c r="C88" s="213"/>
      <c r="D88" s="214"/>
      <c r="E88" s="215"/>
      <c r="F88" s="216"/>
      <c r="G88" s="215"/>
      <c r="H88" s="216"/>
      <c r="I88" s="215"/>
      <c r="J88" s="216"/>
      <c r="K88" s="215"/>
      <c r="L88" s="216"/>
      <c r="M88" s="168"/>
    </row>
    <row r="89" spans="1:13" ht="30" customHeight="1">
      <c r="A89" s="217" t="s">
        <v>150</v>
      </c>
      <c r="B89" s="217" t="s">
        <v>149</v>
      </c>
      <c r="C89" s="218" t="s">
        <v>149</v>
      </c>
      <c r="D89" s="219"/>
      <c r="E89" s="220"/>
      <c r="F89" s="221">
        <f>SUM(F83:F88)</f>
        <v>5955.4000000000005</v>
      </c>
      <c r="G89" s="220"/>
      <c r="H89" s="221">
        <f>SUM(H83:H88)</f>
        <v>24943.800000000003</v>
      </c>
      <c r="I89" s="220"/>
      <c r="J89" s="221">
        <f>SUM(J83:J88)</f>
        <v>0</v>
      </c>
      <c r="K89" s="220"/>
      <c r="L89" s="221">
        <f>SUM(L83:L88)</f>
        <v>30899.200000000001</v>
      </c>
      <c r="M89" s="169" t="s">
        <v>149</v>
      </c>
    </row>
    <row r="90" spans="1:13" ht="30" customHeight="1">
      <c r="A90" s="381" t="s">
        <v>685</v>
      </c>
      <c r="B90" s="382"/>
      <c r="C90" s="208" t="s">
        <v>147</v>
      </c>
      <c r="D90" s="209"/>
      <c r="E90" s="210"/>
      <c r="F90" s="211"/>
      <c r="G90" s="210"/>
      <c r="H90" s="211"/>
      <c r="I90" s="210"/>
      <c r="J90" s="211"/>
      <c r="K90" s="210"/>
      <c r="L90" s="211"/>
      <c r="M90" s="170"/>
    </row>
    <row r="91" spans="1:13" ht="30" customHeight="1">
      <c r="A91" s="212" t="s">
        <v>521</v>
      </c>
      <c r="B91" s="212" t="s">
        <v>522</v>
      </c>
      <c r="C91" s="213" t="s">
        <v>176</v>
      </c>
      <c r="D91" s="214">
        <v>2.1</v>
      </c>
      <c r="E91" s="215">
        <f>단가대비표!L44</f>
        <v>2407.4074074074074</v>
      </c>
      <c r="F91" s="216">
        <f>TRUNC(E91*D91,1)</f>
        <v>5055.5</v>
      </c>
      <c r="G91" s="215"/>
      <c r="H91" s="216">
        <f t="shared" ref="H91:H94" si="69">TRUNC(G91*D91,1)</f>
        <v>0</v>
      </c>
      <c r="I91" s="215"/>
      <c r="J91" s="216">
        <f t="shared" ref="J91:J96" si="70">TRUNC(I91*D91,1)</f>
        <v>0</v>
      </c>
      <c r="K91" s="215">
        <f t="shared" ref="K91:K96" si="71">TRUNC(E91+G91+I91,1)</f>
        <v>2407.4</v>
      </c>
      <c r="L91" s="216">
        <f>TRUNC(F91+H91+J91,1)</f>
        <v>5055.5</v>
      </c>
      <c r="M91" s="168"/>
    </row>
    <row r="92" spans="1:13" ht="30" customHeight="1">
      <c r="A92" s="212" t="s">
        <v>205</v>
      </c>
      <c r="B92" s="212" t="s">
        <v>226</v>
      </c>
      <c r="C92" s="213" t="s">
        <v>186</v>
      </c>
      <c r="D92" s="214">
        <v>0.27</v>
      </c>
      <c r="E92" s="215">
        <f>단가대비표!L40</f>
        <v>3500</v>
      </c>
      <c r="F92" s="216">
        <f>TRUNC(E92*D92,1)</f>
        <v>945</v>
      </c>
      <c r="G92" s="215"/>
      <c r="H92" s="216">
        <f t="shared" si="69"/>
        <v>0</v>
      </c>
      <c r="I92" s="215"/>
      <c r="J92" s="216">
        <f t="shared" ref="J92" si="72">TRUNC(I92*D92,1)</f>
        <v>0</v>
      </c>
      <c r="K92" s="215">
        <f t="shared" ref="K92" si="73">TRUNC(E92+G92+I92,1)</f>
        <v>3500</v>
      </c>
      <c r="L92" s="216">
        <f>TRUNC(F92+H92+J92,1)</f>
        <v>945</v>
      </c>
      <c r="M92" s="168"/>
    </row>
    <row r="93" spans="1:13" ht="30" customHeight="1">
      <c r="A93" s="212" t="s">
        <v>120</v>
      </c>
      <c r="B93" s="212" t="s">
        <v>206</v>
      </c>
      <c r="C93" s="213" t="s">
        <v>148</v>
      </c>
      <c r="D93" s="214">
        <f>0.03*2</f>
        <v>0.06</v>
      </c>
      <c r="E93" s="215"/>
      <c r="F93" s="216"/>
      <c r="G93" s="215">
        <f>단가대비표!L4</f>
        <v>217517</v>
      </c>
      <c r="H93" s="216">
        <f t="shared" si="69"/>
        <v>13051</v>
      </c>
      <c r="I93" s="215"/>
      <c r="J93" s="216">
        <f t="shared" si="70"/>
        <v>0</v>
      </c>
      <c r="K93" s="215">
        <f t="shared" si="71"/>
        <v>217517</v>
      </c>
      <c r="L93" s="216">
        <f t="shared" ref="L93:L96" si="74">TRUNC(F93+H93+J93,1)</f>
        <v>13051</v>
      </c>
      <c r="M93" s="168"/>
    </row>
    <row r="94" spans="1:13" ht="30" customHeight="1">
      <c r="A94" s="212" t="s">
        <v>120</v>
      </c>
      <c r="B94" s="212" t="s">
        <v>188</v>
      </c>
      <c r="C94" s="213" t="s">
        <v>148</v>
      </c>
      <c r="D94" s="214">
        <f>0.013*2</f>
        <v>2.5999999999999999E-2</v>
      </c>
      <c r="E94" s="215"/>
      <c r="F94" s="216"/>
      <c r="G94" s="215">
        <f>단가대비표!L7</f>
        <v>148510</v>
      </c>
      <c r="H94" s="216">
        <f t="shared" si="69"/>
        <v>3861.2</v>
      </c>
      <c r="I94" s="215"/>
      <c r="J94" s="216">
        <f t="shared" si="70"/>
        <v>0</v>
      </c>
      <c r="K94" s="215">
        <f t="shared" si="71"/>
        <v>148510</v>
      </c>
      <c r="L94" s="216">
        <f t="shared" si="74"/>
        <v>3861.2</v>
      </c>
      <c r="M94" s="168"/>
    </row>
    <row r="95" spans="1:13" ht="30" customHeight="1">
      <c r="A95" s="212" t="s">
        <v>460</v>
      </c>
      <c r="B95" s="212" t="s">
        <v>461</v>
      </c>
      <c r="C95" s="213" t="s">
        <v>220</v>
      </c>
      <c r="D95" s="214">
        <v>1</v>
      </c>
      <c r="E95" s="215">
        <f>F91*3%</f>
        <v>151.66499999999999</v>
      </c>
      <c r="F95" s="216">
        <f>TRUNC(E95*D95,1)</f>
        <v>151.6</v>
      </c>
      <c r="G95" s="215"/>
      <c r="H95" s="216"/>
      <c r="I95" s="215"/>
      <c r="J95" s="216">
        <f t="shared" si="70"/>
        <v>0</v>
      </c>
      <c r="K95" s="215">
        <f t="shared" si="71"/>
        <v>151.6</v>
      </c>
      <c r="L95" s="216">
        <f t="shared" si="74"/>
        <v>151.6</v>
      </c>
      <c r="M95" s="168"/>
    </row>
    <row r="96" spans="1:13" ht="30" customHeight="1">
      <c r="A96" s="212" t="s">
        <v>219</v>
      </c>
      <c r="B96" s="212" t="s">
        <v>526</v>
      </c>
      <c r="C96" s="213" t="s">
        <v>220</v>
      </c>
      <c r="D96" s="214">
        <v>1</v>
      </c>
      <c r="E96" s="215">
        <f>(H94+H93)*1%</f>
        <v>169.12200000000001</v>
      </c>
      <c r="F96" s="216">
        <f t="shared" ref="F96" si="75">TRUNC(E96*D96,1)</f>
        <v>169.1</v>
      </c>
      <c r="G96" s="215"/>
      <c r="H96" s="216"/>
      <c r="I96" s="215"/>
      <c r="J96" s="216">
        <f t="shared" si="70"/>
        <v>0</v>
      </c>
      <c r="K96" s="215">
        <f t="shared" si="71"/>
        <v>169.1</v>
      </c>
      <c r="L96" s="216">
        <f t="shared" si="74"/>
        <v>169.1</v>
      </c>
      <c r="M96" s="168"/>
    </row>
    <row r="97" spans="1:13" ht="30" customHeight="1">
      <c r="A97" s="212"/>
      <c r="B97" s="212"/>
      <c r="C97" s="213"/>
      <c r="D97" s="214"/>
      <c r="E97" s="215"/>
      <c r="F97" s="216"/>
      <c r="G97" s="215"/>
      <c r="H97" s="216"/>
      <c r="I97" s="215"/>
      <c r="J97" s="216"/>
      <c r="K97" s="215"/>
      <c r="L97" s="216"/>
      <c r="M97" s="168"/>
    </row>
    <row r="98" spans="1:13" ht="30" customHeight="1">
      <c r="A98" s="217" t="s">
        <v>150</v>
      </c>
      <c r="B98" s="217" t="s">
        <v>149</v>
      </c>
      <c r="C98" s="218" t="s">
        <v>149</v>
      </c>
      <c r="D98" s="219"/>
      <c r="E98" s="220"/>
      <c r="F98" s="221">
        <f>SUM(F91:F97)</f>
        <v>6321.2000000000007</v>
      </c>
      <c r="G98" s="220"/>
      <c r="H98" s="221">
        <f>SUM(H91:H97)</f>
        <v>16912.2</v>
      </c>
      <c r="I98" s="220"/>
      <c r="J98" s="221">
        <f>SUM(J91:J97)</f>
        <v>0</v>
      </c>
      <c r="K98" s="220"/>
      <c r="L98" s="221">
        <f>SUM(L91:L97)</f>
        <v>23233.399999999998</v>
      </c>
      <c r="M98" s="169" t="s">
        <v>149</v>
      </c>
    </row>
    <row r="99" spans="1:13" ht="30" customHeight="1">
      <c r="A99" s="381" t="s">
        <v>686</v>
      </c>
      <c r="B99" s="382"/>
      <c r="C99" s="208" t="s">
        <v>147</v>
      </c>
      <c r="D99" s="209"/>
      <c r="E99" s="210"/>
      <c r="F99" s="211"/>
      <c r="G99" s="210"/>
      <c r="H99" s="211"/>
      <c r="I99" s="210"/>
      <c r="J99" s="211"/>
      <c r="K99" s="210"/>
      <c r="L99" s="211"/>
      <c r="M99" s="170"/>
    </row>
    <row r="100" spans="1:13" ht="30" customHeight="1">
      <c r="A100" s="212" t="s">
        <v>443</v>
      </c>
      <c r="B100" s="212" t="s">
        <v>444</v>
      </c>
      <c r="C100" s="213" t="s">
        <v>176</v>
      </c>
      <c r="D100" s="214">
        <v>0.104</v>
      </c>
      <c r="E100" s="215">
        <f>단가대비표!L72</f>
        <v>4548.6111111111113</v>
      </c>
      <c r="F100" s="216">
        <f>TRUNC(E100*D100,1)</f>
        <v>473</v>
      </c>
      <c r="G100" s="215"/>
      <c r="H100" s="216">
        <f t="shared" ref="H100:H103" si="76">TRUNC(G100*D100,1)</f>
        <v>0</v>
      </c>
      <c r="I100" s="215"/>
      <c r="J100" s="216">
        <f t="shared" ref="J100:J104" si="77">TRUNC(I100*D100,1)</f>
        <v>0</v>
      </c>
      <c r="K100" s="215">
        <f t="shared" ref="K100:K104" si="78">TRUNC(E100+G100+I100,1)</f>
        <v>4548.6000000000004</v>
      </c>
      <c r="L100" s="216">
        <f t="shared" ref="L100:L104" si="79">TRUNC(F100+H100+J100,1)</f>
        <v>473</v>
      </c>
      <c r="M100" s="168"/>
    </row>
    <row r="101" spans="1:13" ht="30" customHeight="1">
      <c r="A101" s="212" t="s">
        <v>205</v>
      </c>
      <c r="B101" s="212" t="s">
        <v>226</v>
      </c>
      <c r="C101" s="213" t="s">
        <v>186</v>
      </c>
      <c r="D101" s="214">
        <v>3.5000000000000003E-2</v>
      </c>
      <c r="E101" s="215">
        <f>단가대비표!L40</f>
        <v>3500</v>
      </c>
      <c r="F101" s="216">
        <f t="shared" ref="F101" si="80">TRUNC(E101*D101,1)</f>
        <v>122.5</v>
      </c>
      <c r="G101" s="215"/>
      <c r="H101" s="216">
        <f t="shared" si="76"/>
        <v>0</v>
      </c>
      <c r="I101" s="215"/>
      <c r="J101" s="216">
        <f t="shared" si="77"/>
        <v>0</v>
      </c>
      <c r="K101" s="215">
        <f t="shared" si="78"/>
        <v>3500</v>
      </c>
      <c r="L101" s="216">
        <f t="shared" si="79"/>
        <v>122.5</v>
      </c>
      <c r="M101" s="168"/>
    </row>
    <row r="102" spans="1:13" ht="30" customHeight="1">
      <c r="A102" s="212" t="s">
        <v>120</v>
      </c>
      <c r="B102" s="212" t="s">
        <v>206</v>
      </c>
      <c r="C102" s="213" t="s">
        <v>148</v>
      </c>
      <c r="D102" s="214">
        <v>1.4E-2</v>
      </c>
      <c r="E102" s="215"/>
      <c r="F102" s="216"/>
      <c r="G102" s="215">
        <f>단가대비표!L4</f>
        <v>217517</v>
      </c>
      <c r="H102" s="216">
        <f t="shared" si="76"/>
        <v>3045.2</v>
      </c>
      <c r="I102" s="215"/>
      <c r="J102" s="216">
        <f t="shared" si="77"/>
        <v>0</v>
      </c>
      <c r="K102" s="215">
        <f t="shared" si="78"/>
        <v>217517</v>
      </c>
      <c r="L102" s="216">
        <f t="shared" si="79"/>
        <v>3045.2</v>
      </c>
      <c r="M102" s="168"/>
    </row>
    <row r="103" spans="1:13" ht="30" customHeight="1">
      <c r="A103" s="212" t="s">
        <v>120</v>
      </c>
      <c r="B103" s="212" t="s">
        <v>188</v>
      </c>
      <c r="C103" s="213" t="s">
        <v>148</v>
      </c>
      <c r="D103" s="214">
        <v>3.0000000000000001E-3</v>
      </c>
      <c r="E103" s="215"/>
      <c r="F103" s="216"/>
      <c r="G103" s="215">
        <f>단가대비표!L7</f>
        <v>148510</v>
      </c>
      <c r="H103" s="216">
        <f t="shared" si="76"/>
        <v>445.5</v>
      </c>
      <c r="I103" s="215"/>
      <c r="J103" s="216">
        <f t="shared" si="77"/>
        <v>0</v>
      </c>
      <c r="K103" s="215">
        <f t="shared" si="78"/>
        <v>148510</v>
      </c>
      <c r="L103" s="216">
        <f t="shared" si="79"/>
        <v>445.5</v>
      </c>
      <c r="M103" s="168"/>
    </row>
    <row r="104" spans="1:13" ht="30" customHeight="1">
      <c r="A104" s="212" t="s">
        <v>219</v>
      </c>
      <c r="B104" s="212" t="s">
        <v>213</v>
      </c>
      <c r="C104" s="213" t="s">
        <v>220</v>
      </c>
      <c r="D104" s="214">
        <v>1</v>
      </c>
      <c r="E104" s="215">
        <f>(H103+H102)*2%</f>
        <v>69.813999999999993</v>
      </c>
      <c r="F104" s="216">
        <f t="shared" ref="F104" si="81">TRUNC(E104*D104,1)</f>
        <v>69.8</v>
      </c>
      <c r="G104" s="215"/>
      <c r="H104" s="216"/>
      <c r="I104" s="215"/>
      <c r="J104" s="216">
        <f t="shared" si="77"/>
        <v>0</v>
      </c>
      <c r="K104" s="215">
        <f t="shared" si="78"/>
        <v>69.8</v>
      </c>
      <c r="L104" s="216">
        <f t="shared" si="79"/>
        <v>69.8</v>
      </c>
      <c r="M104" s="168"/>
    </row>
    <row r="105" spans="1:13" ht="30" customHeight="1">
      <c r="A105" s="212"/>
      <c r="B105" s="212"/>
      <c r="C105" s="213"/>
      <c r="D105" s="214"/>
      <c r="E105" s="215"/>
      <c r="F105" s="216"/>
      <c r="G105" s="215"/>
      <c r="H105" s="216"/>
      <c r="I105" s="215"/>
      <c r="J105" s="216"/>
      <c r="K105" s="215"/>
      <c r="L105" s="216"/>
      <c r="M105" s="168"/>
    </row>
    <row r="106" spans="1:13" ht="30" customHeight="1">
      <c r="A106" s="217" t="s">
        <v>150</v>
      </c>
      <c r="B106" s="217" t="s">
        <v>149</v>
      </c>
      <c r="C106" s="218" t="s">
        <v>149</v>
      </c>
      <c r="D106" s="219"/>
      <c r="E106" s="220"/>
      <c r="F106" s="221">
        <f>SUM(F100:F105)</f>
        <v>665.3</v>
      </c>
      <c r="G106" s="220"/>
      <c r="H106" s="221">
        <f>SUM(H100:H105)</f>
        <v>3490.7</v>
      </c>
      <c r="I106" s="220"/>
      <c r="J106" s="221">
        <f>SUM(J100:J105)</f>
        <v>0</v>
      </c>
      <c r="K106" s="220"/>
      <c r="L106" s="221">
        <f>SUM(L100:L105)</f>
        <v>4156</v>
      </c>
      <c r="M106" s="169" t="s">
        <v>149</v>
      </c>
    </row>
    <row r="107" spans="1:13" ht="30" customHeight="1">
      <c r="A107" s="381" t="s">
        <v>687</v>
      </c>
      <c r="B107" s="382"/>
      <c r="C107" s="208" t="s">
        <v>147</v>
      </c>
      <c r="D107" s="209"/>
      <c r="E107" s="210"/>
      <c r="F107" s="211"/>
      <c r="G107" s="210"/>
      <c r="H107" s="211"/>
      <c r="I107" s="210"/>
      <c r="J107" s="211"/>
      <c r="K107" s="210"/>
      <c r="L107" s="211"/>
      <c r="M107" s="170"/>
    </row>
    <row r="108" spans="1:13" ht="30" customHeight="1">
      <c r="A108" s="212" t="s">
        <v>531</v>
      </c>
      <c r="B108" s="212"/>
      <c r="C108" s="213" t="s">
        <v>176</v>
      </c>
      <c r="D108" s="214">
        <v>1.1000000000000001</v>
      </c>
      <c r="E108" s="215">
        <f>단가대비표!L28</f>
        <v>4680</v>
      </c>
      <c r="F108" s="216">
        <f>TRUNC(E108*D108,1)</f>
        <v>5148</v>
      </c>
      <c r="G108" s="215"/>
      <c r="H108" s="216">
        <f t="shared" ref="H108" si="82">TRUNC(G108*D108,1)</f>
        <v>0</v>
      </c>
      <c r="I108" s="215"/>
      <c r="J108" s="216">
        <f t="shared" ref="J108" si="83">TRUNC(I108*D108,1)</f>
        <v>0</v>
      </c>
      <c r="K108" s="215">
        <f t="shared" ref="K108" si="84">TRUNC(E108+G108+I108,1)</f>
        <v>4680</v>
      </c>
      <c r="L108" s="216">
        <f t="shared" ref="L108" si="85">TRUNC(F108+H108+J108,1)</f>
        <v>5148</v>
      </c>
      <c r="M108" s="168"/>
    </row>
    <row r="109" spans="1:13" ht="30" customHeight="1">
      <c r="A109" s="212" t="s">
        <v>120</v>
      </c>
      <c r="B109" s="212" t="s">
        <v>206</v>
      </c>
      <c r="C109" s="213" t="s">
        <v>148</v>
      </c>
      <c r="D109" s="214">
        <v>2.4E-2</v>
      </c>
      <c r="E109" s="215"/>
      <c r="F109" s="216">
        <f t="shared" ref="F109:F111" si="86">TRUNC(E109*D109,1)</f>
        <v>0</v>
      </c>
      <c r="G109" s="215">
        <f>단가대비표!L4</f>
        <v>217517</v>
      </c>
      <c r="H109" s="216">
        <f t="shared" ref="H109:H110" si="87">TRUNC(G109*D109,1)</f>
        <v>5220.3999999999996</v>
      </c>
      <c r="I109" s="215"/>
      <c r="J109" s="216">
        <f t="shared" ref="J109:J111" si="88">TRUNC(I109*D109,1)</f>
        <v>0</v>
      </c>
      <c r="K109" s="215">
        <f t="shared" ref="K109:K111" si="89">TRUNC(E109+G109+I109,1)</f>
        <v>217517</v>
      </c>
      <c r="L109" s="216">
        <f t="shared" ref="L109:L111" si="90">TRUNC(F109+H109+J109,1)</f>
        <v>5220.3999999999996</v>
      </c>
      <c r="M109" s="168"/>
    </row>
    <row r="110" spans="1:13" ht="30" customHeight="1">
      <c r="A110" s="212" t="s">
        <v>120</v>
      </c>
      <c r="B110" s="212" t="s">
        <v>188</v>
      </c>
      <c r="C110" s="213" t="s">
        <v>148</v>
      </c>
      <c r="D110" s="214">
        <v>4.0000000000000001E-3</v>
      </c>
      <c r="E110" s="215"/>
      <c r="F110" s="216">
        <f t="shared" si="86"/>
        <v>0</v>
      </c>
      <c r="G110" s="215">
        <f>단가대비표!L7</f>
        <v>148510</v>
      </c>
      <c r="H110" s="216">
        <f t="shared" si="87"/>
        <v>594</v>
      </c>
      <c r="I110" s="215"/>
      <c r="J110" s="216">
        <f t="shared" si="88"/>
        <v>0</v>
      </c>
      <c r="K110" s="215">
        <f t="shared" si="89"/>
        <v>148510</v>
      </c>
      <c r="L110" s="216">
        <f t="shared" si="90"/>
        <v>594</v>
      </c>
      <c r="M110" s="168"/>
    </row>
    <row r="111" spans="1:13" ht="30" customHeight="1">
      <c r="A111" s="212" t="s">
        <v>219</v>
      </c>
      <c r="B111" s="212" t="s">
        <v>213</v>
      </c>
      <c r="C111" s="213" t="s">
        <v>220</v>
      </c>
      <c r="D111" s="214">
        <v>1</v>
      </c>
      <c r="E111" s="215">
        <f>(H110+H109)*2%</f>
        <v>116.288</v>
      </c>
      <c r="F111" s="216">
        <f t="shared" si="86"/>
        <v>116.2</v>
      </c>
      <c r="G111" s="215"/>
      <c r="H111" s="216"/>
      <c r="I111" s="215"/>
      <c r="J111" s="216">
        <f t="shared" si="88"/>
        <v>0</v>
      </c>
      <c r="K111" s="215">
        <f t="shared" si="89"/>
        <v>116.2</v>
      </c>
      <c r="L111" s="216">
        <f t="shared" si="90"/>
        <v>116.2</v>
      </c>
      <c r="M111" s="168"/>
    </row>
    <row r="112" spans="1:13" ht="30" customHeight="1">
      <c r="A112" s="212"/>
      <c r="B112" s="212"/>
      <c r="C112" s="213"/>
      <c r="D112" s="214"/>
      <c r="E112" s="215"/>
      <c r="F112" s="216"/>
      <c r="G112" s="215"/>
      <c r="H112" s="216"/>
      <c r="I112" s="215"/>
      <c r="J112" s="216"/>
      <c r="K112" s="215"/>
      <c r="L112" s="216"/>
      <c r="M112" s="168"/>
    </row>
    <row r="113" spans="1:13" ht="30" customHeight="1">
      <c r="A113" s="217" t="s">
        <v>150</v>
      </c>
      <c r="B113" s="217" t="s">
        <v>149</v>
      </c>
      <c r="C113" s="218" t="s">
        <v>149</v>
      </c>
      <c r="D113" s="219"/>
      <c r="E113" s="220"/>
      <c r="F113" s="221">
        <f>SUM(F108:F112)</f>
        <v>5264.2</v>
      </c>
      <c r="G113" s="220"/>
      <c r="H113" s="221">
        <f>SUM(H108:H112)</f>
        <v>5814.4</v>
      </c>
      <c r="I113" s="220"/>
      <c r="J113" s="221">
        <f>SUM(J108:J112)</f>
        <v>0</v>
      </c>
      <c r="K113" s="220"/>
      <c r="L113" s="221">
        <f>SUM(L108:L112)</f>
        <v>11078.6</v>
      </c>
      <c r="M113" s="169" t="s">
        <v>149</v>
      </c>
    </row>
    <row r="114" spans="1:13" ht="30" customHeight="1">
      <c r="A114" s="385" t="s">
        <v>701</v>
      </c>
      <c r="B114" s="386"/>
      <c r="C114" s="228" t="s">
        <v>208</v>
      </c>
      <c r="D114" s="229"/>
      <c r="E114" s="230"/>
      <c r="F114" s="231"/>
      <c r="G114" s="230"/>
      <c r="H114" s="231"/>
      <c r="I114" s="230"/>
      <c r="J114" s="231"/>
      <c r="K114" s="230"/>
      <c r="L114" s="231"/>
      <c r="M114" s="232"/>
    </row>
    <row r="115" spans="1:13" ht="30" customHeight="1">
      <c r="A115" s="212" t="s">
        <v>688</v>
      </c>
      <c r="B115" s="233" t="s">
        <v>256</v>
      </c>
      <c r="C115" s="213" t="s">
        <v>186</v>
      </c>
      <c r="D115" s="214">
        <v>1.84E-2</v>
      </c>
      <c r="E115" s="215">
        <f>단가대비표!L53</f>
        <v>2280</v>
      </c>
      <c r="F115" s="216">
        <f t="shared" ref="F115:F117" si="91">TRUNC(E115*D115,1)</f>
        <v>41.9</v>
      </c>
      <c r="G115" s="215"/>
      <c r="H115" s="216"/>
      <c r="I115" s="215"/>
      <c r="J115" s="216"/>
      <c r="K115" s="215">
        <f t="shared" ref="K115:K118" si="92">TRUNC(E115+G115+I115,1)</f>
        <v>2280</v>
      </c>
      <c r="L115" s="216">
        <f t="shared" ref="L115:L118" si="93">TRUNC(F115+H115+J115,1)</f>
        <v>41.9</v>
      </c>
      <c r="M115" s="168"/>
    </row>
    <row r="116" spans="1:13" ht="30" customHeight="1">
      <c r="A116" s="212" t="s">
        <v>249</v>
      </c>
      <c r="B116" s="212" t="s">
        <v>250</v>
      </c>
      <c r="C116" s="213" t="s">
        <v>258</v>
      </c>
      <c r="D116" s="214">
        <v>6.3</v>
      </c>
      <c r="E116" s="215">
        <f>단가대비표!L45</f>
        <v>1.9</v>
      </c>
      <c r="F116" s="216">
        <f t="shared" si="91"/>
        <v>11.9</v>
      </c>
      <c r="G116" s="215"/>
      <c r="H116" s="216"/>
      <c r="I116" s="215"/>
      <c r="J116" s="216"/>
      <c r="K116" s="215">
        <f t="shared" si="92"/>
        <v>1.9</v>
      </c>
      <c r="L116" s="216">
        <f t="shared" si="93"/>
        <v>11.9</v>
      </c>
      <c r="M116" s="168"/>
    </row>
    <row r="117" spans="1:13" ht="30" customHeight="1">
      <c r="A117" s="212" t="s">
        <v>251</v>
      </c>
      <c r="B117" s="212" t="s">
        <v>149</v>
      </c>
      <c r="C117" s="213" t="s">
        <v>186</v>
      </c>
      <c r="D117" s="214">
        <v>2.8E-3</v>
      </c>
      <c r="E117" s="215">
        <f>단가대비표!L50</f>
        <v>25000</v>
      </c>
      <c r="F117" s="216">
        <f t="shared" si="91"/>
        <v>70</v>
      </c>
      <c r="G117" s="215"/>
      <c r="H117" s="216"/>
      <c r="I117" s="215"/>
      <c r="J117" s="216"/>
      <c r="K117" s="215">
        <f t="shared" si="92"/>
        <v>25000</v>
      </c>
      <c r="L117" s="216">
        <f t="shared" si="93"/>
        <v>70</v>
      </c>
      <c r="M117" s="168"/>
    </row>
    <row r="118" spans="1:13" ht="30" customHeight="1">
      <c r="A118" s="212" t="s">
        <v>119</v>
      </c>
      <c r="B118" s="212" t="s">
        <v>252</v>
      </c>
      <c r="C118" s="213" t="s">
        <v>148</v>
      </c>
      <c r="D118" s="214">
        <v>2.7650000000000001E-2</v>
      </c>
      <c r="E118" s="215"/>
      <c r="F118" s="216"/>
      <c r="G118" s="215">
        <f>단가대비표!L9</f>
        <v>209189</v>
      </c>
      <c r="H118" s="216">
        <f t="shared" ref="H118" si="94">TRUNC(G118*D118,1)</f>
        <v>5784</v>
      </c>
      <c r="I118" s="215"/>
      <c r="J118" s="216"/>
      <c r="K118" s="215">
        <f t="shared" si="92"/>
        <v>209189</v>
      </c>
      <c r="L118" s="216">
        <f t="shared" si="93"/>
        <v>5784</v>
      </c>
      <c r="M118" s="168"/>
    </row>
    <row r="119" spans="1:13" ht="30" customHeight="1">
      <c r="A119" s="212" t="s">
        <v>119</v>
      </c>
      <c r="B119" s="212" t="s">
        <v>253</v>
      </c>
      <c r="C119" s="213" t="s">
        <v>148</v>
      </c>
      <c r="D119" s="214">
        <v>2.5999999999999999E-3</v>
      </c>
      <c r="E119" s="215"/>
      <c r="F119" s="216"/>
      <c r="G119" s="215">
        <f>단가대비표!L11</f>
        <v>234564</v>
      </c>
      <c r="H119" s="216">
        <f>TRUNC(G119*D119,1)</f>
        <v>609.79999999999995</v>
      </c>
      <c r="I119" s="215"/>
      <c r="J119" s="216"/>
      <c r="K119" s="215">
        <f>TRUNC(E119+G119+I119,1)</f>
        <v>234564</v>
      </c>
      <c r="L119" s="216">
        <f>TRUNC(F119+H119+J119,1)</f>
        <v>609.79999999999995</v>
      </c>
      <c r="M119" s="168"/>
    </row>
    <row r="120" spans="1:13" ht="30" customHeight="1">
      <c r="A120" s="212" t="s">
        <v>119</v>
      </c>
      <c r="B120" s="212" t="s">
        <v>218</v>
      </c>
      <c r="C120" s="213" t="s">
        <v>148</v>
      </c>
      <c r="D120" s="214">
        <v>6.6E-4</v>
      </c>
      <c r="E120" s="215"/>
      <c r="F120" s="216"/>
      <c r="G120" s="215">
        <f>단가대비표!L7</f>
        <v>148510</v>
      </c>
      <c r="H120" s="216">
        <f t="shared" ref="H120:H121" si="95">TRUNC(G120*D120,1)</f>
        <v>98</v>
      </c>
      <c r="I120" s="215"/>
      <c r="J120" s="216"/>
      <c r="K120" s="215">
        <f t="shared" ref="K120:K123" si="96">TRUNC(E120+G120+I120,1)</f>
        <v>148510</v>
      </c>
      <c r="L120" s="216">
        <f t="shared" ref="L120:L123" si="97">TRUNC(F120+H120+J120,1)</f>
        <v>98</v>
      </c>
      <c r="M120" s="168"/>
    </row>
    <row r="121" spans="1:13" ht="30" customHeight="1">
      <c r="A121" s="212" t="s">
        <v>119</v>
      </c>
      <c r="B121" s="212" t="s">
        <v>254</v>
      </c>
      <c r="C121" s="213" t="s">
        <v>148</v>
      </c>
      <c r="D121" s="214">
        <v>7.3999999999999999E-4</v>
      </c>
      <c r="E121" s="215"/>
      <c r="F121" s="216"/>
      <c r="G121" s="215">
        <f>단가대비표!L15</f>
        <v>187435</v>
      </c>
      <c r="H121" s="216">
        <f t="shared" si="95"/>
        <v>138.69999999999999</v>
      </c>
      <c r="I121" s="215"/>
      <c r="J121" s="216"/>
      <c r="K121" s="215">
        <f t="shared" si="96"/>
        <v>187435</v>
      </c>
      <c r="L121" s="216">
        <f t="shared" si="97"/>
        <v>138.69999999999999</v>
      </c>
      <c r="M121" s="168"/>
    </row>
    <row r="122" spans="1:13" ht="30" customHeight="1">
      <c r="A122" s="212" t="s">
        <v>219</v>
      </c>
      <c r="B122" s="212" t="s">
        <v>464</v>
      </c>
      <c r="C122" s="213" t="s">
        <v>220</v>
      </c>
      <c r="D122" s="214" t="s">
        <v>260</v>
      </c>
      <c r="E122" s="215">
        <f>(H120+H119+H121+H118)*5%</f>
        <v>331.52500000000003</v>
      </c>
      <c r="F122" s="216">
        <f t="shared" ref="F122:F123" si="98">TRUNC(E122*D122,1)</f>
        <v>331.5</v>
      </c>
      <c r="G122" s="215"/>
      <c r="H122" s="216"/>
      <c r="I122" s="215"/>
      <c r="J122" s="216"/>
      <c r="K122" s="215">
        <f t="shared" si="96"/>
        <v>331.5</v>
      </c>
      <c r="L122" s="216">
        <f t="shared" si="97"/>
        <v>331.5</v>
      </c>
      <c r="M122" s="168"/>
    </row>
    <row r="123" spans="1:13" ht="30" customHeight="1">
      <c r="A123" s="212" t="s">
        <v>462</v>
      </c>
      <c r="B123" s="212" t="s">
        <v>400</v>
      </c>
      <c r="C123" s="213" t="s">
        <v>220</v>
      </c>
      <c r="D123" s="214" t="s">
        <v>260</v>
      </c>
      <c r="E123" s="215">
        <f>(H121+H120+H122+H119)*5%</f>
        <v>42.325000000000003</v>
      </c>
      <c r="F123" s="216">
        <f t="shared" si="98"/>
        <v>42.3</v>
      </c>
      <c r="G123" s="215"/>
      <c r="H123" s="216"/>
      <c r="I123" s="215"/>
      <c r="J123" s="216"/>
      <c r="K123" s="215">
        <f t="shared" si="96"/>
        <v>42.3</v>
      </c>
      <c r="L123" s="216">
        <f t="shared" si="97"/>
        <v>42.3</v>
      </c>
      <c r="M123" s="168"/>
    </row>
    <row r="124" spans="1:13" ht="30" customHeight="1">
      <c r="A124" s="212"/>
      <c r="B124" s="212"/>
      <c r="C124" s="213"/>
      <c r="D124" s="214"/>
      <c r="E124" s="215"/>
      <c r="F124" s="216"/>
      <c r="G124" s="215"/>
      <c r="H124" s="216"/>
      <c r="I124" s="215"/>
      <c r="J124" s="216"/>
      <c r="K124" s="215"/>
      <c r="L124" s="216"/>
      <c r="M124" s="168"/>
    </row>
    <row r="125" spans="1:13" ht="30" customHeight="1">
      <c r="A125" s="217" t="s">
        <v>150</v>
      </c>
      <c r="B125" s="217" t="s">
        <v>149</v>
      </c>
      <c r="C125" s="218" t="s">
        <v>149</v>
      </c>
      <c r="D125" s="219"/>
      <c r="E125" s="220"/>
      <c r="F125" s="221">
        <f>SUM(F115:F124)</f>
        <v>497.6</v>
      </c>
      <c r="G125" s="220"/>
      <c r="H125" s="221">
        <f>SUM(H115:H124)</f>
        <v>6630.5</v>
      </c>
      <c r="I125" s="220"/>
      <c r="J125" s="221">
        <f>SUM(J115:J124)</f>
        <v>0</v>
      </c>
      <c r="K125" s="220"/>
      <c r="L125" s="221">
        <f>SUM(L115:L124)</f>
        <v>7128.1</v>
      </c>
      <c r="M125" s="169" t="s">
        <v>149</v>
      </c>
    </row>
    <row r="126" spans="1:13" ht="30" customHeight="1">
      <c r="A126" s="387" t="s">
        <v>703</v>
      </c>
      <c r="B126" s="388"/>
      <c r="C126" s="238" t="s">
        <v>186</v>
      </c>
      <c r="D126" s="239"/>
      <c r="E126" s="240"/>
      <c r="F126" s="241"/>
      <c r="G126" s="240"/>
      <c r="H126" s="241"/>
      <c r="I126" s="240"/>
      <c r="J126" s="241"/>
      <c r="K126" s="240"/>
      <c r="L126" s="241"/>
      <c r="M126" s="232"/>
    </row>
    <row r="127" spans="1:13" ht="30" customHeight="1">
      <c r="A127" s="212" t="s">
        <v>689</v>
      </c>
      <c r="B127" s="212" t="s">
        <v>466</v>
      </c>
      <c r="C127" s="234" t="s">
        <v>186</v>
      </c>
      <c r="D127" s="235">
        <v>1.2</v>
      </c>
      <c r="E127" s="236">
        <f>F125</f>
        <v>497.6</v>
      </c>
      <c r="F127" s="237">
        <f>E127*D127</f>
        <v>597.12</v>
      </c>
      <c r="G127" s="236">
        <f>H125</f>
        <v>6630.5</v>
      </c>
      <c r="H127" s="237">
        <f>G127*D127</f>
        <v>7956.5999999999995</v>
      </c>
      <c r="I127" s="236">
        <f>J125</f>
        <v>0</v>
      </c>
      <c r="J127" s="237">
        <f>I127*D127</f>
        <v>0</v>
      </c>
      <c r="K127" s="236">
        <f>TRUNC(E127+G127+I127,1)</f>
        <v>7128.1</v>
      </c>
      <c r="L127" s="237">
        <f>TRUNC(F127+H127+J127,1)</f>
        <v>8553.7000000000007</v>
      </c>
      <c r="M127" s="168"/>
    </row>
    <row r="128" spans="1:13" ht="30" customHeight="1">
      <c r="A128" s="233"/>
      <c r="B128" s="233"/>
      <c r="C128" s="234"/>
      <c r="D128" s="235"/>
      <c r="E128" s="236"/>
      <c r="F128" s="237"/>
      <c r="G128" s="236"/>
      <c r="H128" s="237"/>
      <c r="I128" s="236"/>
      <c r="J128" s="237"/>
      <c r="K128" s="236"/>
      <c r="L128" s="237"/>
      <c r="M128" s="168"/>
    </row>
    <row r="129" spans="1:13" ht="30" customHeight="1">
      <c r="A129" s="233" t="s">
        <v>150</v>
      </c>
      <c r="B129" s="233"/>
      <c r="C129" s="234"/>
      <c r="D129" s="235"/>
      <c r="E129" s="236"/>
      <c r="F129" s="237">
        <f>SUM(F127:F128)</f>
        <v>597.12</v>
      </c>
      <c r="G129" s="236"/>
      <c r="H129" s="237">
        <f>SUM(H127:H128)</f>
        <v>7956.5999999999995</v>
      </c>
      <c r="I129" s="236"/>
      <c r="J129" s="237">
        <f>SUM(J127:J128)</f>
        <v>0</v>
      </c>
      <c r="K129" s="236"/>
      <c r="L129" s="237">
        <f>SUM(L127:L128)</f>
        <v>8553.7000000000007</v>
      </c>
      <c r="M129" s="168"/>
    </row>
    <row r="130" spans="1:13" ht="30" customHeight="1">
      <c r="A130" s="385" t="s">
        <v>704</v>
      </c>
      <c r="B130" s="386"/>
      <c r="C130" s="228" t="s">
        <v>265</v>
      </c>
      <c r="D130" s="229"/>
      <c r="E130" s="230"/>
      <c r="F130" s="231"/>
      <c r="G130" s="230"/>
      <c r="H130" s="231"/>
      <c r="I130" s="230"/>
      <c r="J130" s="231"/>
      <c r="K130" s="230"/>
      <c r="L130" s="231"/>
      <c r="M130" s="232"/>
    </row>
    <row r="131" spans="1:13" ht="30" customHeight="1">
      <c r="A131" s="212" t="s">
        <v>272</v>
      </c>
      <c r="B131" s="233" t="s">
        <v>256</v>
      </c>
      <c r="C131" s="213" t="s">
        <v>186</v>
      </c>
      <c r="D131" s="214">
        <v>1.84E-2</v>
      </c>
      <c r="E131" s="215">
        <f>단가대비표!L52</f>
        <v>9160</v>
      </c>
      <c r="F131" s="216">
        <f t="shared" ref="F131:F133" si="99">TRUNC(E131*D131,1)</f>
        <v>168.5</v>
      </c>
      <c r="G131" s="215"/>
      <c r="H131" s="216"/>
      <c r="I131" s="215"/>
      <c r="J131" s="216"/>
      <c r="K131" s="215">
        <f t="shared" ref="K131:K139" si="100">TRUNC(E131+G131+I131,1)</f>
        <v>9160</v>
      </c>
      <c r="L131" s="216">
        <f t="shared" ref="L131:L139" si="101">TRUNC(F131+H131+J131,1)</f>
        <v>168.5</v>
      </c>
      <c r="M131" s="168"/>
    </row>
    <row r="132" spans="1:13" ht="30" customHeight="1">
      <c r="A132" s="212" t="s">
        <v>249</v>
      </c>
      <c r="B132" s="212" t="s">
        <v>250</v>
      </c>
      <c r="C132" s="213" t="s">
        <v>258</v>
      </c>
      <c r="D132" s="214">
        <v>6.3</v>
      </c>
      <c r="E132" s="215">
        <f>단가대비표!L45</f>
        <v>1.9</v>
      </c>
      <c r="F132" s="216">
        <f t="shared" si="99"/>
        <v>11.9</v>
      </c>
      <c r="G132" s="215"/>
      <c r="H132" s="216"/>
      <c r="I132" s="215"/>
      <c r="J132" s="216"/>
      <c r="K132" s="215">
        <f t="shared" si="100"/>
        <v>1.9</v>
      </c>
      <c r="L132" s="216">
        <f t="shared" si="101"/>
        <v>11.9</v>
      </c>
      <c r="M132" s="168"/>
    </row>
    <row r="133" spans="1:13" ht="30" customHeight="1">
      <c r="A133" s="212" t="s">
        <v>251</v>
      </c>
      <c r="B133" s="212" t="s">
        <v>149</v>
      </c>
      <c r="C133" s="213" t="s">
        <v>186</v>
      </c>
      <c r="D133" s="214">
        <v>2.8E-3</v>
      </c>
      <c r="E133" s="215">
        <f>단가대비표!L50</f>
        <v>25000</v>
      </c>
      <c r="F133" s="216">
        <f t="shared" si="99"/>
        <v>70</v>
      </c>
      <c r="G133" s="215"/>
      <c r="H133" s="216"/>
      <c r="I133" s="215"/>
      <c r="J133" s="216"/>
      <c r="K133" s="215">
        <f t="shared" si="100"/>
        <v>25000</v>
      </c>
      <c r="L133" s="216">
        <f t="shared" si="101"/>
        <v>70</v>
      </c>
      <c r="M133" s="168"/>
    </row>
    <row r="134" spans="1:13" ht="30" customHeight="1">
      <c r="A134" s="212" t="s">
        <v>119</v>
      </c>
      <c r="B134" s="212" t="s">
        <v>252</v>
      </c>
      <c r="C134" s="213" t="s">
        <v>148</v>
      </c>
      <c r="D134" s="214">
        <v>2.7650000000000001E-2</v>
      </c>
      <c r="E134" s="215"/>
      <c r="F134" s="216"/>
      <c r="G134" s="215">
        <f>단가대비표!L9</f>
        <v>209189</v>
      </c>
      <c r="H134" s="216">
        <f t="shared" ref="H134:H137" si="102">TRUNC(G134*D134,1)</f>
        <v>5784</v>
      </c>
      <c r="I134" s="215"/>
      <c r="J134" s="216"/>
      <c r="K134" s="215">
        <f t="shared" si="100"/>
        <v>209189</v>
      </c>
      <c r="L134" s="216">
        <f t="shared" si="101"/>
        <v>5784</v>
      </c>
      <c r="M134" s="168"/>
    </row>
    <row r="135" spans="1:13" ht="30" customHeight="1">
      <c r="A135" s="212" t="s">
        <v>119</v>
      </c>
      <c r="B135" s="212" t="s">
        <v>253</v>
      </c>
      <c r="C135" s="213" t="s">
        <v>148</v>
      </c>
      <c r="D135" s="214">
        <v>2.5999999999999999E-3</v>
      </c>
      <c r="E135" s="215"/>
      <c r="F135" s="216"/>
      <c r="G135" s="215">
        <f>단가대비표!L11</f>
        <v>234564</v>
      </c>
      <c r="H135" s="216">
        <f>TRUNC(G135*D135,1)</f>
        <v>609.79999999999995</v>
      </c>
      <c r="I135" s="215"/>
      <c r="J135" s="216"/>
      <c r="K135" s="215">
        <f>TRUNC(E135+G135+I135,1)</f>
        <v>234564</v>
      </c>
      <c r="L135" s="216">
        <f>TRUNC(F135+H135+J135,1)</f>
        <v>609.79999999999995</v>
      </c>
      <c r="M135" s="168"/>
    </row>
    <row r="136" spans="1:13" ht="30" customHeight="1">
      <c r="A136" s="212" t="s">
        <v>119</v>
      </c>
      <c r="B136" s="212" t="s">
        <v>218</v>
      </c>
      <c r="C136" s="213" t="s">
        <v>148</v>
      </c>
      <c r="D136" s="214">
        <v>6.6E-4</v>
      </c>
      <c r="E136" s="215"/>
      <c r="F136" s="216"/>
      <c r="G136" s="215">
        <f>단가대비표!L7</f>
        <v>148510</v>
      </c>
      <c r="H136" s="216">
        <f t="shared" si="102"/>
        <v>98</v>
      </c>
      <c r="I136" s="215"/>
      <c r="J136" s="216"/>
      <c r="K136" s="215">
        <f t="shared" si="100"/>
        <v>148510</v>
      </c>
      <c r="L136" s="216">
        <f t="shared" si="101"/>
        <v>98</v>
      </c>
      <c r="M136" s="168"/>
    </row>
    <row r="137" spans="1:13" ht="30" customHeight="1">
      <c r="A137" s="212" t="s">
        <v>119</v>
      </c>
      <c r="B137" s="212" t="s">
        <v>254</v>
      </c>
      <c r="C137" s="213" t="s">
        <v>148</v>
      </c>
      <c r="D137" s="214">
        <v>7.3999999999999999E-4</v>
      </c>
      <c r="E137" s="215"/>
      <c r="F137" s="216"/>
      <c r="G137" s="215">
        <f>단가대비표!L15</f>
        <v>187435</v>
      </c>
      <c r="H137" s="216">
        <f t="shared" si="102"/>
        <v>138.69999999999999</v>
      </c>
      <c r="I137" s="215"/>
      <c r="J137" s="216"/>
      <c r="K137" s="215">
        <f t="shared" si="100"/>
        <v>187435</v>
      </c>
      <c r="L137" s="216">
        <f t="shared" si="101"/>
        <v>138.69999999999999</v>
      </c>
      <c r="M137" s="168"/>
    </row>
    <row r="138" spans="1:13" ht="30" customHeight="1">
      <c r="A138" s="212" t="s">
        <v>219</v>
      </c>
      <c r="B138" s="212" t="s">
        <v>464</v>
      </c>
      <c r="C138" s="213" t="s">
        <v>220</v>
      </c>
      <c r="D138" s="214" t="s">
        <v>260</v>
      </c>
      <c r="E138" s="215">
        <f>(H136+H135+H137+H134)*5%</f>
        <v>331.52500000000003</v>
      </c>
      <c r="F138" s="216">
        <f t="shared" ref="F138:F139" si="103">TRUNC(E138*D138,1)</f>
        <v>331.5</v>
      </c>
      <c r="G138" s="215"/>
      <c r="H138" s="216"/>
      <c r="I138" s="215"/>
      <c r="J138" s="216"/>
      <c r="K138" s="215">
        <f t="shared" si="100"/>
        <v>331.5</v>
      </c>
      <c r="L138" s="216">
        <f t="shared" si="101"/>
        <v>331.5</v>
      </c>
      <c r="M138" s="168"/>
    </row>
    <row r="139" spans="1:13" ht="30" customHeight="1">
      <c r="A139" s="212" t="s">
        <v>462</v>
      </c>
      <c r="B139" s="212" t="s">
        <v>463</v>
      </c>
      <c r="C139" s="213" t="s">
        <v>220</v>
      </c>
      <c r="D139" s="214" t="s">
        <v>260</v>
      </c>
      <c r="E139" s="215">
        <f>(H137+H136+H138+H135)*5%</f>
        <v>42.325000000000003</v>
      </c>
      <c r="F139" s="216">
        <f t="shared" si="103"/>
        <v>42.3</v>
      </c>
      <c r="G139" s="215"/>
      <c r="H139" s="216"/>
      <c r="I139" s="215"/>
      <c r="J139" s="216"/>
      <c r="K139" s="215">
        <f t="shared" si="100"/>
        <v>42.3</v>
      </c>
      <c r="L139" s="216">
        <f t="shared" si="101"/>
        <v>42.3</v>
      </c>
      <c r="M139" s="168"/>
    </row>
    <row r="140" spans="1:13" ht="30" customHeight="1">
      <c r="A140" s="212"/>
      <c r="B140" s="212"/>
      <c r="C140" s="213"/>
      <c r="D140" s="214"/>
      <c r="E140" s="215"/>
      <c r="F140" s="216"/>
      <c r="G140" s="215"/>
      <c r="H140" s="216"/>
      <c r="I140" s="215"/>
      <c r="J140" s="216"/>
      <c r="K140" s="215"/>
      <c r="L140" s="216"/>
      <c r="M140" s="168"/>
    </row>
    <row r="141" spans="1:13" ht="30" customHeight="1">
      <c r="A141" s="217" t="s">
        <v>150</v>
      </c>
      <c r="B141" s="217" t="s">
        <v>149</v>
      </c>
      <c r="C141" s="218" t="s">
        <v>149</v>
      </c>
      <c r="D141" s="219"/>
      <c r="E141" s="220"/>
      <c r="F141" s="221">
        <f>SUM(F131:F140)</f>
        <v>624.19999999999993</v>
      </c>
      <c r="G141" s="220"/>
      <c r="H141" s="221">
        <f>SUM(H131:H140)</f>
        <v>6630.5</v>
      </c>
      <c r="I141" s="220"/>
      <c r="J141" s="221">
        <f>SUM(J131:J140)</f>
        <v>0</v>
      </c>
      <c r="K141" s="220"/>
      <c r="L141" s="221">
        <f>SUM(L131:L140)</f>
        <v>7254.7</v>
      </c>
      <c r="M141" s="169" t="s">
        <v>149</v>
      </c>
    </row>
    <row r="142" spans="1:13" ht="30" customHeight="1">
      <c r="A142" s="387" t="s">
        <v>705</v>
      </c>
      <c r="B142" s="388"/>
      <c r="C142" s="238" t="s">
        <v>186</v>
      </c>
      <c r="D142" s="239"/>
      <c r="E142" s="240"/>
      <c r="F142" s="241"/>
      <c r="G142" s="240"/>
      <c r="H142" s="241"/>
      <c r="I142" s="240"/>
      <c r="J142" s="241"/>
      <c r="K142" s="240"/>
      <c r="L142" s="241"/>
      <c r="M142" s="232"/>
    </row>
    <row r="143" spans="1:13" ht="30" customHeight="1">
      <c r="A143" s="212" t="s">
        <v>465</v>
      </c>
      <c r="B143" s="212" t="s">
        <v>711</v>
      </c>
      <c r="C143" s="234" t="s">
        <v>186</v>
      </c>
      <c r="D143" s="235">
        <v>1.3</v>
      </c>
      <c r="E143" s="236">
        <f>F141</f>
        <v>624.19999999999993</v>
      </c>
      <c r="F143" s="237">
        <f>E143*D143</f>
        <v>811.45999999999992</v>
      </c>
      <c r="G143" s="236">
        <f>H141</f>
        <v>6630.5</v>
      </c>
      <c r="H143" s="237">
        <f>G143*D143</f>
        <v>8619.65</v>
      </c>
      <c r="I143" s="236">
        <f>J141</f>
        <v>0</v>
      </c>
      <c r="J143" s="237">
        <f>I143*D143</f>
        <v>0</v>
      </c>
      <c r="K143" s="236">
        <f>TRUNC(E143+G143+I143,1)</f>
        <v>7254.7</v>
      </c>
      <c r="L143" s="237">
        <f>TRUNC(F143+H143+J143,1)</f>
        <v>9431.1</v>
      </c>
      <c r="M143" s="168"/>
    </row>
    <row r="144" spans="1:13" ht="30" customHeight="1">
      <c r="A144" s="233"/>
      <c r="B144" s="233"/>
      <c r="C144" s="234"/>
      <c r="D144" s="235"/>
      <c r="E144" s="236"/>
      <c r="F144" s="237"/>
      <c r="G144" s="236"/>
      <c r="H144" s="237"/>
      <c r="I144" s="236"/>
      <c r="J144" s="237"/>
      <c r="K144" s="236"/>
      <c r="L144" s="237"/>
      <c r="M144" s="168"/>
    </row>
    <row r="145" spans="1:13" ht="30" customHeight="1">
      <c r="A145" s="233" t="s">
        <v>150</v>
      </c>
      <c r="B145" s="233"/>
      <c r="C145" s="234"/>
      <c r="D145" s="235"/>
      <c r="E145" s="236"/>
      <c r="F145" s="237">
        <f>SUM(F143:F144)</f>
        <v>811.45999999999992</v>
      </c>
      <c r="G145" s="236"/>
      <c r="H145" s="237">
        <f>SUM(H143:H144)</f>
        <v>8619.65</v>
      </c>
      <c r="I145" s="236"/>
      <c r="J145" s="237">
        <f>SUM(J143:J144)</f>
        <v>0</v>
      </c>
      <c r="K145" s="236"/>
      <c r="L145" s="237">
        <f>SUM(L143:L144)</f>
        <v>9431.1</v>
      </c>
      <c r="M145" s="168"/>
    </row>
    <row r="146" spans="1:13" ht="30" customHeight="1">
      <c r="A146" s="383" t="s">
        <v>706</v>
      </c>
      <c r="B146" s="384"/>
      <c r="C146" s="243" t="s">
        <v>230</v>
      </c>
      <c r="D146" s="244"/>
      <c r="E146" s="210"/>
      <c r="F146" s="211"/>
      <c r="G146" s="210"/>
      <c r="H146" s="211"/>
      <c r="I146" s="210"/>
      <c r="J146" s="211"/>
      <c r="K146" s="210"/>
      <c r="L146" s="211"/>
      <c r="M146" s="245"/>
    </row>
    <row r="147" spans="1:13" ht="30" customHeight="1">
      <c r="A147" s="217" t="s">
        <v>274</v>
      </c>
      <c r="B147" s="217" t="s">
        <v>269</v>
      </c>
      <c r="C147" s="218" t="s">
        <v>176</v>
      </c>
      <c r="D147" s="235">
        <f>(0.09)*1.6*1.2</f>
        <v>0.17279999999999998</v>
      </c>
      <c r="E147" s="220">
        <f>단가대비표!L47</f>
        <v>44704.861111111109</v>
      </c>
      <c r="F147" s="237">
        <f>E147*D147</f>
        <v>7724.9999999999991</v>
      </c>
      <c r="G147" s="220">
        <v>0</v>
      </c>
      <c r="H147" s="237">
        <f>G147*D147</f>
        <v>0</v>
      </c>
      <c r="I147" s="220">
        <v>0</v>
      </c>
      <c r="J147" s="237">
        <f t="shared" ref="J147:J148" si="104">I147*D147</f>
        <v>0</v>
      </c>
      <c r="K147" s="236">
        <f t="shared" ref="K147" si="105">TRUNC(E147+G147+I147,1)</f>
        <v>44704.800000000003</v>
      </c>
      <c r="L147" s="237">
        <f t="shared" ref="L147" si="106">TRUNC(F147+H147+J147,1)</f>
        <v>7725</v>
      </c>
      <c r="M147" s="169" t="s">
        <v>149</v>
      </c>
    </row>
    <row r="148" spans="1:13" ht="30" customHeight="1">
      <c r="A148" s="212" t="s">
        <v>273</v>
      </c>
      <c r="B148" s="212" t="s">
        <v>710</v>
      </c>
      <c r="C148" s="213" t="s">
        <v>186</v>
      </c>
      <c r="D148" s="235">
        <f>(1.6*0.173*7.93)</f>
        <v>2.1950239999999996</v>
      </c>
      <c r="E148" s="215">
        <f>F145</f>
        <v>811.45999999999992</v>
      </c>
      <c r="F148" s="237">
        <f t="shared" ref="F148" si="107">E148*D148</f>
        <v>1781.1741750399995</v>
      </c>
      <c r="G148" s="215">
        <f>H145</f>
        <v>8619.65</v>
      </c>
      <c r="H148" s="237">
        <f t="shared" ref="H148" si="108">G148*D148</f>
        <v>18920.338621599996</v>
      </c>
      <c r="I148" s="215">
        <f>J145</f>
        <v>0</v>
      </c>
      <c r="J148" s="237">
        <f t="shared" si="104"/>
        <v>0</v>
      </c>
      <c r="K148" s="236">
        <f>TRUNC(E148+G148+I148,1)</f>
        <v>9431.1</v>
      </c>
      <c r="L148" s="237">
        <f>TRUNC(F148+H148+J148,1)</f>
        <v>20701.5</v>
      </c>
      <c r="M148" s="168"/>
    </row>
    <row r="149" spans="1:13" ht="30" customHeight="1">
      <c r="A149" s="212"/>
      <c r="B149" s="212"/>
      <c r="C149" s="213"/>
      <c r="D149" s="214"/>
      <c r="E149" s="215"/>
      <c r="F149" s="216"/>
      <c r="G149" s="215"/>
      <c r="H149" s="216"/>
      <c r="I149" s="215"/>
      <c r="J149" s="216"/>
      <c r="K149" s="215"/>
      <c r="L149" s="216"/>
      <c r="M149" s="168"/>
    </row>
    <row r="150" spans="1:13" ht="30" customHeight="1">
      <c r="A150" s="212" t="s">
        <v>150</v>
      </c>
      <c r="B150" s="212" t="s">
        <v>149</v>
      </c>
      <c r="C150" s="213" t="s">
        <v>149</v>
      </c>
      <c r="D150" s="214"/>
      <c r="E150" s="215"/>
      <c r="F150" s="216">
        <f>SUM(F147:F149)</f>
        <v>9506.1741750399979</v>
      </c>
      <c r="G150" s="215"/>
      <c r="H150" s="216">
        <f>SUM(H147:H149)</f>
        <v>18920.338621599996</v>
      </c>
      <c r="I150" s="215"/>
      <c r="J150" s="216">
        <f>SUM(J147:J149)</f>
        <v>0</v>
      </c>
      <c r="K150" s="215"/>
      <c r="L150" s="216">
        <f>SUM(L147:L149)</f>
        <v>28426.5</v>
      </c>
      <c r="M150" s="168" t="s">
        <v>149</v>
      </c>
    </row>
    <row r="151" spans="1:13" ht="30" customHeight="1">
      <c r="A151" s="383" t="s">
        <v>690</v>
      </c>
      <c r="B151" s="384"/>
      <c r="C151" s="243" t="s">
        <v>230</v>
      </c>
      <c r="D151" s="244"/>
      <c r="E151" s="210"/>
      <c r="F151" s="211"/>
      <c r="G151" s="210"/>
      <c r="H151" s="211"/>
      <c r="I151" s="210"/>
      <c r="J151" s="211"/>
      <c r="K151" s="210"/>
      <c r="L151" s="211"/>
      <c r="M151" s="245"/>
    </row>
    <row r="152" spans="1:13" ht="30" customHeight="1">
      <c r="A152" s="217" t="s">
        <v>691</v>
      </c>
      <c r="B152" s="217" t="s">
        <v>269</v>
      </c>
      <c r="C152" s="218" t="s">
        <v>176</v>
      </c>
      <c r="D152" s="235">
        <f>(0.18)*1.6*1.2</f>
        <v>0.34559999999999996</v>
      </c>
      <c r="E152" s="220">
        <f>단가대비표!L51</f>
        <v>16586.419753086418</v>
      </c>
      <c r="F152" s="237">
        <f>E152*D152</f>
        <v>5732.2666666666655</v>
      </c>
      <c r="G152" s="220">
        <v>0</v>
      </c>
      <c r="H152" s="237">
        <f>G152*D152</f>
        <v>0</v>
      </c>
      <c r="I152" s="220">
        <v>0</v>
      </c>
      <c r="J152" s="237">
        <f t="shared" ref="J152:J153" si="109">I152*D152</f>
        <v>0</v>
      </c>
      <c r="K152" s="236">
        <f t="shared" ref="K152" si="110">TRUNC(E152+G152+I152,1)</f>
        <v>16586.400000000001</v>
      </c>
      <c r="L152" s="237">
        <f t="shared" ref="L152" si="111">TRUNC(F152+H152+J152,1)</f>
        <v>5732.2</v>
      </c>
      <c r="M152" s="169" t="s">
        <v>149</v>
      </c>
    </row>
    <row r="153" spans="1:13" ht="30" customHeight="1">
      <c r="A153" s="212" t="s">
        <v>692</v>
      </c>
      <c r="B153" s="212" t="s">
        <v>709</v>
      </c>
      <c r="C153" s="213" t="s">
        <v>186</v>
      </c>
      <c r="D153" s="235">
        <f>(1.6*0.173*7.93)</f>
        <v>2.1950239999999996</v>
      </c>
      <c r="E153" s="215">
        <f>F129</f>
        <v>597.12</v>
      </c>
      <c r="F153" s="237">
        <f t="shared" ref="F153" si="112">E153*D153</f>
        <v>1310.6927308799998</v>
      </c>
      <c r="G153" s="215">
        <f>H129</f>
        <v>7956.5999999999995</v>
      </c>
      <c r="H153" s="237">
        <f t="shared" ref="H153" si="113">G153*D153</f>
        <v>17464.927958399996</v>
      </c>
      <c r="I153" s="215">
        <f>J129</f>
        <v>0</v>
      </c>
      <c r="J153" s="237">
        <f t="shared" si="109"/>
        <v>0</v>
      </c>
      <c r="K153" s="236">
        <f>TRUNC(E153+G153+I153,1)</f>
        <v>8553.7000000000007</v>
      </c>
      <c r="L153" s="237">
        <f>TRUNC(F153+H153+J153,1)</f>
        <v>18775.599999999999</v>
      </c>
      <c r="M153" s="168"/>
    </row>
    <row r="154" spans="1:13" ht="30" customHeight="1">
      <c r="A154" s="212"/>
      <c r="B154" s="212"/>
      <c r="C154" s="213"/>
      <c r="D154" s="214"/>
      <c r="E154" s="215"/>
      <c r="F154" s="216"/>
      <c r="G154" s="215"/>
      <c r="H154" s="216"/>
      <c r="I154" s="215"/>
      <c r="J154" s="216"/>
      <c r="K154" s="215"/>
      <c r="L154" s="216"/>
      <c r="M154" s="168"/>
    </row>
    <row r="155" spans="1:13" ht="30" customHeight="1">
      <c r="A155" s="212" t="s">
        <v>150</v>
      </c>
      <c r="B155" s="212" t="s">
        <v>149</v>
      </c>
      <c r="C155" s="213" t="s">
        <v>149</v>
      </c>
      <c r="D155" s="214"/>
      <c r="E155" s="215"/>
      <c r="F155" s="216">
        <f>SUM(F152:F154)</f>
        <v>7042.9593975466651</v>
      </c>
      <c r="G155" s="215"/>
      <c r="H155" s="216">
        <f>SUM(H152:H154)</f>
        <v>17464.927958399996</v>
      </c>
      <c r="I155" s="215"/>
      <c r="J155" s="216">
        <f>SUM(J152:J154)</f>
        <v>0</v>
      </c>
      <c r="K155" s="215"/>
      <c r="L155" s="216">
        <f>SUM(L152:L154)</f>
        <v>24507.8</v>
      </c>
      <c r="M155" s="168" t="s">
        <v>149</v>
      </c>
    </row>
    <row r="156" spans="1:13" ht="30" customHeight="1">
      <c r="A156" s="383" t="s">
        <v>707</v>
      </c>
      <c r="B156" s="384"/>
      <c r="C156" s="243" t="s">
        <v>230</v>
      </c>
      <c r="D156" s="244"/>
      <c r="E156" s="210"/>
      <c r="F156" s="211"/>
      <c r="G156" s="210"/>
      <c r="H156" s="211"/>
      <c r="I156" s="210"/>
      <c r="J156" s="211"/>
      <c r="K156" s="210"/>
      <c r="L156" s="211"/>
      <c r="M156" s="245"/>
    </row>
    <row r="157" spans="1:13" ht="30" customHeight="1">
      <c r="A157" s="217" t="s">
        <v>691</v>
      </c>
      <c r="B157" s="217" t="s">
        <v>269</v>
      </c>
      <c r="C157" s="218" t="s">
        <v>176</v>
      </c>
      <c r="D157" s="235">
        <f>(0.12)*1.6*1.2</f>
        <v>0.23039999999999999</v>
      </c>
      <c r="E157" s="220">
        <f>단가대비표!L51</f>
        <v>16586.419753086418</v>
      </c>
      <c r="F157" s="237">
        <f>E157*D157</f>
        <v>3821.5111111111105</v>
      </c>
      <c r="G157" s="220">
        <v>0</v>
      </c>
      <c r="H157" s="237">
        <f>G157*D157</f>
        <v>0</v>
      </c>
      <c r="I157" s="220">
        <v>0</v>
      </c>
      <c r="J157" s="237">
        <f t="shared" ref="J157:J158" si="114">I157*D157</f>
        <v>0</v>
      </c>
      <c r="K157" s="236">
        <f t="shared" ref="K157" si="115">TRUNC(E157+G157+I157,1)</f>
        <v>16586.400000000001</v>
      </c>
      <c r="L157" s="237">
        <f t="shared" ref="L157" si="116">TRUNC(F157+H157+J157,1)</f>
        <v>3821.5</v>
      </c>
      <c r="M157" s="169" t="s">
        <v>149</v>
      </c>
    </row>
    <row r="158" spans="1:13" ht="30" customHeight="1">
      <c r="A158" s="212" t="s">
        <v>692</v>
      </c>
      <c r="B158" s="212" t="s">
        <v>709</v>
      </c>
      <c r="C158" s="213" t="s">
        <v>186</v>
      </c>
      <c r="D158" s="235">
        <f>(1.6*0.173*7.93)</f>
        <v>2.1950239999999996</v>
      </c>
      <c r="E158" s="215">
        <f>F129</f>
        <v>597.12</v>
      </c>
      <c r="F158" s="237">
        <f t="shared" ref="F158" si="117">E158*D158</f>
        <v>1310.6927308799998</v>
      </c>
      <c r="G158" s="215">
        <f>H129</f>
        <v>7956.5999999999995</v>
      </c>
      <c r="H158" s="237">
        <f t="shared" ref="H158" si="118">G158*D158</f>
        <v>17464.927958399996</v>
      </c>
      <c r="I158" s="215">
        <f>J134</f>
        <v>0</v>
      </c>
      <c r="J158" s="237">
        <f t="shared" si="114"/>
        <v>0</v>
      </c>
      <c r="K158" s="236">
        <f>TRUNC(E158+G158+I158,1)</f>
        <v>8553.7000000000007</v>
      </c>
      <c r="L158" s="237">
        <f>TRUNC(F158+H158+J158,1)</f>
        <v>18775.599999999999</v>
      </c>
      <c r="M158" s="168"/>
    </row>
    <row r="159" spans="1:13" ht="30" customHeight="1">
      <c r="A159" s="212"/>
      <c r="B159" s="212"/>
      <c r="C159" s="213"/>
      <c r="D159" s="214"/>
      <c r="E159" s="215"/>
      <c r="F159" s="216"/>
      <c r="G159" s="215"/>
      <c r="H159" s="216"/>
      <c r="I159" s="215"/>
      <c r="J159" s="216"/>
      <c r="K159" s="215"/>
      <c r="L159" s="216"/>
      <c r="M159" s="168"/>
    </row>
    <row r="160" spans="1:13" ht="30" customHeight="1">
      <c r="A160" s="212" t="s">
        <v>150</v>
      </c>
      <c r="B160" s="212" t="s">
        <v>149</v>
      </c>
      <c r="C160" s="213" t="s">
        <v>149</v>
      </c>
      <c r="D160" s="214"/>
      <c r="E160" s="215"/>
      <c r="F160" s="216">
        <f>SUM(F157:F159)</f>
        <v>5132.2038419911105</v>
      </c>
      <c r="G160" s="215"/>
      <c r="H160" s="216">
        <f>SUM(H157:H159)</f>
        <v>17464.927958399996</v>
      </c>
      <c r="I160" s="215"/>
      <c r="J160" s="216">
        <f>SUM(J157:J159)</f>
        <v>0</v>
      </c>
      <c r="K160" s="215"/>
      <c r="L160" s="216">
        <f>SUM(L157:L159)</f>
        <v>22597.1</v>
      </c>
      <c r="M160" s="168" t="s">
        <v>149</v>
      </c>
    </row>
    <row r="161" spans="1:13" ht="30" customHeight="1">
      <c r="A161" s="383" t="s">
        <v>708</v>
      </c>
      <c r="B161" s="384"/>
      <c r="C161" s="243" t="s">
        <v>543</v>
      </c>
      <c r="D161" s="244"/>
      <c r="E161" s="210"/>
      <c r="F161" s="211"/>
      <c r="G161" s="210"/>
      <c r="H161" s="211"/>
      <c r="I161" s="210"/>
      <c r="J161" s="211"/>
      <c r="K161" s="210"/>
      <c r="L161" s="211"/>
      <c r="M161" s="245"/>
    </row>
    <row r="162" spans="1:13" ht="30" customHeight="1">
      <c r="A162" s="217" t="s">
        <v>555</v>
      </c>
      <c r="B162" s="217" t="s">
        <v>556</v>
      </c>
      <c r="C162" s="218" t="s">
        <v>230</v>
      </c>
      <c r="D162" s="219">
        <v>2.33</v>
      </c>
      <c r="E162" s="220">
        <f>단가대비표!L29</f>
        <v>3230</v>
      </c>
      <c r="F162" s="237">
        <f t="shared" ref="F162:F165" si="119">E162*D162</f>
        <v>7525.9000000000005</v>
      </c>
      <c r="G162" s="220"/>
      <c r="H162" s="221"/>
      <c r="I162" s="220"/>
      <c r="J162" s="237">
        <f t="shared" ref="J162:J163" si="120">I162*D162</f>
        <v>0</v>
      </c>
      <c r="K162" s="236">
        <f t="shared" ref="K162:K163" si="121">TRUNC(E162+G162+I162,1)</f>
        <v>3230</v>
      </c>
      <c r="L162" s="237">
        <f t="shared" ref="L162:L163" si="122">TRUNC(F162+H162+J162,1)</f>
        <v>7525.9</v>
      </c>
      <c r="M162" s="169"/>
    </row>
    <row r="163" spans="1:13" ht="30" customHeight="1">
      <c r="A163" s="217" t="s">
        <v>557</v>
      </c>
      <c r="B163" s="217" t="s">
        <v>558</v>
      </c>
      <c r="C163" s="218" t="s">
        <v>230</v>
      </c>
      <c r="D163" s="219">
        <v>0.68799999999999994</v>
      </c>
      <c r="E163" s="220">
        <f>단가대비표!L30</f>
        <v>2200</v>
      </c>
      <c r="F163" s="237">
        <f t="shared" si="119"/>
        <v>1513.6</v>
      </c>
      <c r="G163" s="220"/>
      <c r="H163" s="221"/>
      <c r="I163" s="220"/>
      <c r="J163" s="237">
        <f t="shared" si="120"/>
        <v>0</v>
      </c>
      <c r="K163" s="236">
        <f t="shared" si="121"/>
        <v>2200</v>
      </c>
      <c r="L163" s="237">
        <f t="shared" si="122"/>
        <v>1513.6</v>
      </c>
      <c r="M163" s="169"/>
    </row>
    <row r="164" spans="1:13" ht="30" customHeight="1">
      <c r="A164" s="217" t="s">
        <v>559</v>
      </c>
      <c r="B164" s="217" t="s">
        <v>560</v>
      </c>
      <c r="C164" s="218" t="s">
        <v>227</v>
      </c>
      <c r="D164" s="309">
        <v>15</v>
      </c>
      <c r="E164" s="220">
        <v>10</v>
      </c>
      <c r="F164" s="237">
        <f t="shared" si="119"/>
        <v>150</v>
      </c>
      <c r="G164" s="220"/>
      <c r="H164" s="237">
        <f t="shared" ref="H164:H167" si="123">G164*D164</f>
        <v>0</v>
      </c>
      <c r="I164" s="236">
        <f>J145</f>
        <v>0</v>
      </c>
      <c r="J164" s="237">
        <f t="shared" ref="J164:J167" si="124">I164*D164</f>
        <v>0</v>
      </c>
      <c r="K164" s="236">
        <f t="shared" ref="K164:K167" si="125">TRUNC(E164+G164+I164,1)</f>
        <v>10</v>
      </c>
      <c r="L164" s="237">
        <f t="shared" ref="L164:L167" si="126">TRUNC(F164+H164+J164,1)</f>
        <v>150</v>
      </c>
      <c r="M164" s="168"/>
    </row>
    <row r="165" spans="1:13" ht="30" customHeight="1">
      <c r="A165" s="217" t="s">
        <v>561</v>
      </c>
      <c r="B165" s="217" t="s">
        <v>562</v>
      </c>
      <c r="C165" s="218" t="s">
        <v>501</v>
      </c>
      <c r="D165" s="235">
        <v>5</v>
      </c>
      <c r="E165" s="220">
        <f>단가대비표!L76</f>
        <v>48.6</v>
      </c>
      <c r="F165" s="237">
        <f t="shared" si="119"/>
        <v>243</v>
      </c>
      <c r="G165" s="220"/>
      <c r="H165" s="237"/>
      <c r="I165" s="236">
        <f t="shared" ref="I165" si="127">J161</f>
        <v>0</v>
      </c>
      <c r="J165" s="237">
        <f t="shared" ref="J165" si="128">I165*D165</f>
        <v>0</v>
      </c>
      <c r="K165" s="236">
        <f t="shared" ref="K165" si="129">TRUNC(E165+G165+I165,1)</f>
        <v>48.6</v>
      </c>
      <c r="L165" s="237">
        <f t="shared" ref="L165" si="130">TRUNC(F165+H165+J165,1)</f>
        <v>243</v>
      </c>
      <c r="M165" s="168"/>
    </row>
    <row r="166" spans="1:13" ht="30" customHeight="1">
      <c r="A166" s="212" t="s">
        <v>120</v>
      </c>
      <c r="B166" s="212" t="s">
        <v>206</v>
      </c>
      <c r="C166" s="213" t="s">
        <v>542</v>
      </c>
      <c r="D166" s="235">
        <v>3.7999999999999999E-2</v>
      </c>
      <c r="E166" s="215"/>
      <c r="F166" s="237"/>
      <c r="G166" s="215">
        <f>단가대비표!L4</f>
        <v>217517</v>
      </c>
      <c r="H166" s="237">
        <f t="shared" si="123"/>
        <v>8265.6460000000006</v>
      </c>
      <c r="I166" s="236">
        <f>J161</f>
        <v>0</v>
      </c>
      <c r="J166" s="237">
        <f t="shared" si="124"/>
        <v>0</v>
      </c>
      <c r="K166" s="236">
        <f t="shared" si="125"/>
        <v>217517</v>
      </c>
      <c r="L166" s="237">
        <f t="shared" si="126"/>
        <v>8265.6</v>
      </c>
      <c r="M166" s="168"/>
    </row>
    <row r="167" spans="1:13" ht="30" customHeight="1">
      <c r="A167" s="212" t="s">
        <v>120</v>
      </c>
      <c r="B167" s="212" t="s">
        <v>188</v>
      </c>
      <c r="C167" s="213" t="s">
        <v>542</v>
      </c>
      <c r="D167" s="214">
        <v>4.0000000000000001E-3</v>
      </c>
      <c r="E167" s="215"/>
      <c r="F167" s="216"/>
      <c r="G167" s="215">
        <f>단가대비표!L7</f>
        <v>148510</v>
      </c>
      <c r="H167" s="237">
        <f t="shared" si="123"/>
        <v>594.04</v>
      </c>
      <c r="I167" s="236">
        <f>J164</f>
        <v>0</v>
      </c>
      <c r="J167" s="237">
        <f t="shared" si="124"/>
        <v>0</v>
      </c>
      <c r="K167" s="236">
        <f t="shared" si="125"/>
        <v>148510</v>
      </c>
      <c r="L167" s="237">
        <f t="shared" si="126"/>
        <v>594</v>
      </c>
      <c r="M167" s="168"/>
    </row>
    <row r="168" spans="1:13" ht="30" customHeight="1">
      <c r="A168" s="212"/>
      <c r="B168" s="212"/>
      <c r="C168" s="213"/>
      <c r="D168" s="214"/>
      <c r="E168" s="215"/>
      <c r="F168" s="216"/>
      <c r="G168" s="215"/>
      <c r="H168" s="216"/>
      <c r="I168" s="215"/>
      <c r="J168" s="216"/>
      <c r="K168" s="215"/>
      <c r="L168" s="216"/>
      <c r="M168" s="168"/>
    </row>
    <row r="169" spans="1:13" ht="30" customHeight="1">
      <c r="A169" s="212" t="s">
        <v>150</v>
      </c>
      <c r="B169" s="212" t="s">
        <v>149</v>
      </c>
      <c r="C169" s="213" t="s">
        <v>149</v>
      </c>
      <c r="D169" s="214"/>
      <c r="E169" s="215"/>
      <c r="F169" s="216">
        <f>SUM(F162:F167)</f>
        <v>9432.5</v>
      </c>
      <c r="G169" s="215"/>
      <c r="H169" s="216">
        <f>SUM(H162:H167)</f>
        <v>8859.6860000000015</v>
      </c>
      <c r="I169" s="215"/>
      <c r="J169" s="216">
        <f>SUM(J162:J167)</f>
        <v>0</v>
      </c>
      <c r="K169" s="215"/>
      <c r="L169" s="216">
        <f>SUM(L162:L167)</f>
        <v>18292.099999999999</v>
      </c>
      <c r="M169" s="168" t="s">
        <v>149</v>
      </c>
    </row>
    <row r="170" spans="1:13" ht="30" customHeight="1">
      <c r="A170" s="383" t="s">
        <v>716</v>
      </c>
      <c r="B170" s="384"/>
      <c r="C170" s="243" t="s">
        <v>570</v>
      </c>
      <c r="D170" s="244"/>
      <c r="E170" s="210"/>
      <c r="F170" s="211"/>
      <c r="G170" s="210"/>
      <c r="H170" s="211"/>
      <c r="I170" s="210"/>
      <c r="J170" s="211"/>
      <c r="K170" s="210"/>
      <c r="L170" s="211"/>
      <c r="M170" s="245"/>
    </row>
    <row r="171" spans="1:13" ht="30" customHeight="1">
      <c r="A171" s="217" t="s">
        <v>549</v>
      </c>
      <c r="B171" s="217" t="s">
        <v>651</v>
      </c>
      <c r="C171" s="218" t="s">
        <v>571</v>
      </c>
      <c r="D171" s="219">
        <v>1</v>
      </c>
      <c r="E171" s="220">
        <f>단가대비표!L79</f>
        <v>285000</v>
      </c>
      <c r="F171" s="237">
        <f>E171*D171</f>
        <v>285000</v>
      </c>
      <c r="G171" s="220"/>
      <c r="H171" s="237">
        <f>G171*D171</f>
        <v>0</v>
      </c>
      <c r="I171" s="220"/>
      <c r="J171" s="237">
        <f t="shared" ref="J171:J173" si="131">I171*D171</f>
        <v>0</v>
      </c>
      <c r="K171" s="236">
        <f t="shared" ref="K171:L174" si="132">TRUNC(E171+G171+I171,1)</f>
        <v>285000</v>
      </c>
      <c r="L171" s="237">
        <f t="shared" si="132"/>
        <v>285000</v>
      </c>
      <c r="M171" s="169" t="s">
        <v>149</v>
      </c>
    </row>
    <row r="172" spans="1:13" ht="30" customHeight="1">
      <c r="A172" s="212" t="s">
        <v>572</v>
      </c>
      <c r="B172" s="212" t="s">
        <v>287</v>
      </c>
      <c r="C172" s="218" t="s">
        <v>573</v>
      </c>
      <c r="D172" s="235">
        <v>0.313</v>
      </c>
      <c r="E172" s="215"/>
      <c r="F172" s="237"/>
      <c r="G172" s="215">
        <f>단가대비표!L10</f>
        <v>224380</v>
      </c>
      <c r="H172" s="237">
        <f t="shared" ref="H172:H173" si="133">G172*D172</f>
        <v>70230.94</v>
      </c>
      <c r="I172" s="215"/>
      <c r="J172" s="237">
        <f t="shared" si="131"/>
        <v>0</v>
      </c>
      <c r="K172" s="236">
        <f t="shared" si="132"/>
        <v>224380</v>
      </c>
      <c r="L172" s="237">
        <f t="shared" si="132"/>
        <v>70230.899999999994</v>
      </c>
      <c r="M172" s="168"/>
    </row>
    <row r="173" spans="1:13" ht="30" customHeight="1">
      <c r="A173" s="212" t="s">
        <v>572</v>
      </c>
      <c r="B173" s="212" t="s">
        <v>574</v>
      </c>
      <c r="C173" s="213" t="s">
        <v>575</v>
      </c>
      <c r="D173" s="235">
        <v>6.4000000000000001E-2</v>
      </c>
      <c r="E173" s="215"/>
      <c r="F173" s="237"/>
      <c r="G173" s="215">
        <f>단가대비표!L7</f>
        <v>148510</v>
      </c>
      <c r="H173" s="237">
        <f t="shared" si="133"/>
        <v>9504.64</v>
      </c>
      <c r="I173" s="215"/>
      <c r="J173" s="237">
        <f t="shared" si="131"/>
        <v>0</v>
      </c>
      <c r="K173" s="236">
        <f t="shared" si="132"/>
        <v>148510</v>
      </c>
      <c r="L173" s="237">
        <f t="shared" si="132"/>
        <v>9504.6</v>
      </c>
      <c r="M173" s="168"/>
    </row>
    <row r="174" spans="1:13" ht="30" customHeight="1">
      <c r="A174" s="212" t="s">
        <v>219</v>
      </c>
      <c r="B174" s="212" t="s">
        <v>213</v>
      </c>
      <c r="C174" s="213" t="s">
        <v>220</v>
      </c>
      <c r="D174" s="214" t="s">
        <v>260</v>
      </c>
      <c r="E174" s="215">
        <f>(H173+H172)*2%</f>
        <v>1594.7116000000001</v>
      </c>
      <c r="F174" s="216">
        <f t="shared" ref="F174" si="134">TRUNC(E174*D174,1)</f>
        <v>1594.7</v>
      </c>
      <c r="G174" s="215"/>
      <c r="H174" s="216"/>
      <c r="I174" s="215"/>
      <c r="J174" s="216"/>
      <c r="K174" s="215">
        <f t="shared" si="132"/>
        <v>1594.7</v>
      </c>
      <c r="L174" s="216">
        <f t="shared" si="132"/>
        <v>1594.7</v>
      </c>
      <c r="M174" s="168"/>
    </row>
    <row r="175" spans="1:13" ht="30" customHeight="1">
      <c r="A175" s="212"/>
      <c r="B175" s="212"/>
      <c r="C175" s="213"/>
      <c r="D175" s="214"/>
      <c r="E175" s="215"/>
      <c r="F175" s="216"/>
      <c r="G175" s="215"/>
      <c r="H175" s="216"/>
      <c r="I175" s="215"/>
      <c r="J175" s="216"/>
      <c r="K175" s="215"/>
      <c r="L175" s="216"/>
      <c r="M175" s="168"/>
    </row>
    <row r="176" spans="1:13" ht="30" customHeight="1">
      <c r="A176" s="212" t="s">
        <v>150</v>
      </c>
      <c r="B176" s="212" t="s">
        <v>149</v>
      </c>
      <c r="C176" s="213" t="s">
        <v>149</v>
      </c>
      <c r="D176" s="214"/>
      <c r="E176" s="215"/>
      <c r="F176" s="216">
        <f>SUM(F171:F175)</f>
        <v>286594.7</v>
      </c>
      <c r="G176" s="215"/>
      <c r="H176" s="216">
        <f>SUM(H171:H175)</f>
        <v>79735.58</v>
      </c>
      <c r="I176" s="215"/>
      <c r="J176" s="216">
        <f>SUM(J171:J175)</f>
        <v>0</v>
      </c>
      <c r="K176" s="215"/>
      <c r="L176" s="216">
        <f>SUM(L171:L175)</f>
        <v>366330.2</v>
      </c>
      <c r="M176" s="168" t="s">
        <v>149</v>
      </c>
    </row>
    <row r="177" spans="1:13" ht="30" customHeight="1">
      <c r="A177" s="383" t="s">
        <v>717</v>
      </c>
      <c r="B177" s="384"/>
      <c r="C177" s="243" t="s">
        <v>577</v>
      </c>
      <c r="D177" s="244"/>
      <c r="E177" s="210"/>
      <c r="F177" s="211"/>
      <c r="G177" s="210"/>
      <c r="H177" s="211"/>
      <c r="I177" s="210"/>
      <c r="J177" s="211"/>
      <c r="K177" s="210"/>
      <c r="L177" s="211"/>
      <c r="M177" s="245"/>
    </row>
    <row r="178" spans="1:13" ht="30" customHeight="1">
      <c r="A178" s="217" t="s">
        <v>578</v>
      </c>
      <c r="B178" s="217"/>
      <c r="C178" s="218" t="s">
        <v>235</v>
      </c>
      <c r="D178" s="219">
        <v>1</v>
      </c>
      <c r="E178" s="220">
        <f>단가대비표!L31</f>
        <v>35000</v>
      </c>
      <c r="F178" s="237">
        <f>E178*D178</f>
        <v>35000</v>
      </c>
      <c r="G178" s="220"/>
      <c r="H178" s="237">
        <f>G178*D178</f>
        <v>0</v>
      </c>
      <c r="I178" s="220"/>
      <c r="J178" s="237">
        <f t="shared" ref="J178:J180" si="135">I178*D178</f>
        <v>0</v>
      </c>
      <c r="K178" s="236">
        <f t="shared" ref="K178:L181" si="136">TRUNC(E178+G178+I178,1)</f>
        <v>35000</v>
      </c>
      <c r="L178" s="237">
        <f t="shared" si="136"/>
        <v>35000</v>
      </c>
      <c r="M178" s="169" t="s">
        <v>149</v>
      </c>
    </row>
    <row r="179" spans="1:13" ht="30" customHeight="1">
      <c r="A179" s="217" t="s">
        <v>371</v>
      </c>
      <c r="B179" s="217"/>
      <c r="C179" s="218" t="s">
        <v>235</v>
      </c>
      <c r="D179" s="219">
        <v>3</v>
      </c>
      <c r="E179" s="220">
        <f>단가대비표!L24</f>
        <v>2300</v>
      </c>
      <c r="F179" s="237">
        <f t="shared" ref="F179:F181" si="137">E179*D179</f>
        <v>6900</v>
      </c>
      <c r="G179" s="220"/>
      <c r="H179" s="237">
        <f t="shared" ref="H179:H180" si="138">G179*D179</f>
        <v>0</v>
      </c>
      <c r="I179" s="220"/>
      <c r="J179" s="237">
        <f t="shared" si="135"/>
        <v>0</v>
      </c>
      <c r="K179" s="236">
        <f t="shared" si="136"/>
        <v>2300</v>
      </c>
      <c r="L179" s="237">
        <f t="shared" si="136"/>
        <v>6900</v>
      </c>
      <c r="M179" s="169"/>
    </row>
    <row r="180" spans="1:13" ht="30" customHeight="1">
      <c r="A180" s="212" t="s">
        <v>579</v>
      </c>
      <c r="B180" s="212" t="s">
        <v>287</v>
      </c>
      <c r="C180" s="218" t="s">
        <v>187</v>
      </c>
      <c r="D180" s="235">
        <v>3.1E-2</v>
      </c>
      <c r="E180" s="215"/>
      <c r="F180" s="237">
        <f t="shared" si="137"/>
        <v>0</v>
      </c>
      <c r="G180" s="215">
        <f>단가대비표!L10</f>
        <v>224380</v>
      </c>
      <c r="H180" s="237">
        <f t="shared" si="138"/>
        <v>6955.78</v>
      </c>
      <c r="I180" s="215"/>
      <c r="J180" s="237">
        <f t="shared" si="135"/>
        <v>0</v>
      </c>
      <c r="K180" s="236">
        <f t="shared" si="136"/>
        <v>224380</v>
      </c>
      <c r="L180" s="237">
        <f t="shared" si="136"/>
        <v>6955.7</v>
      </c>
      <c r="M180" s="168"/>
    </row>
    <row r="181" spans="1:13" ht="30" customHeight="1">
      <c r="A181" s="212" t="s">
        <v>219</v>
      </c>
      <c r="B181" s="212" t="s">
        <v>213</v>
      </c>
      <c r="C181" s="213" t="s">
        <v>220</v>
      </c>
      <c r="D181" s="214" t="s">
        <v>260</v>
      </c>
      <c r="E181" s="215">
        <f>(H180)*2%</f>
        <v>139.1156</v>
      </c>
      <c r="F181" s="237">
        <f t="shared" si="137"/>
        <v>139.1156</v>
      </c>
      <c r="G181" s="215"/>
      <c r="H181" s="216"/>
      <c r="I181" s="215"/>
      <c r="J181" s="216"/>
      <c r="K181" s="236">
        <f t="shared" si="136"/>
        <v>139.1</v>
      </c>
      <c r="L181" s="237">
        <f t="shared" si="136"/>
        <v>139.1</v>
      </c>
      <c r="M181" s="168"/>
    </row>
    <row r="182" spans="1:13" ht="30" customHeight="1">
      <c r="A182" s="212"/>
      <c r="B182" s="212"/>
      <c r="C182" s="213"/>
      <c r="D182" s="214"/>
      <c r="E182" s="215"/>
      <c r="F182" s="216"/>
      <c r="G182" s="215"/>
      <c r="H182" s="216"/>
      <c r="I182" s="215"/>
      <c r="J182" s="216"/>
      <c r="K182" s="215"/>
      <c r="L182" s="216"/>
      <c r="M182" s="168"/>
    </row>
    <row r="183" spans="1:13" ht="30" customHeight="1">
      <c r="A183" s="212" t="s">
        <v>150</v>
      </c>
      <c r="B183" s="212" t="s">
        <v>149</v>
      </c>
      <c r="C183" s="213" t="s">
        <v>149</v>
      </c>
      <c r="D183" s="214"/>
      <c r="E183" s="215"/>
      <c r="F183" s="216">
        <f>SUM(F178:F182)</f>
        <v>42039.115599999997</v>
      </c>
      <c r="G183" s="215"/>
      <c r="H183" s="216">
        <f>SUM(H178:H182)</f>
        <v>6955.78</v>
      </c>
      <c r="I183" s="215"/>
      <c r="J183" s="216">
        <f>SUM(J178:J182)</f>
        <v>0</v>
      </c>
      <c r="K183" s="215"/>
      <c r="L183" s="216">
        <f>SUM(L178:L182)</f>
        <v>48994.799999999996</v>
      </c>
      <c r="M183" s="168" t="s">
        <v>149</v>
      </c>
    </row>
    <row r="184" spans="1:13" ht="30" customHeight="1">
      <c r="A184" s="383" t="s">
        <v>718</v>
      </c>
      <c r="B184" s="384"/>
      <c r="C184" s="243" t="s">
        <v>588</v>
      </c>
      <c r="D184" s="244"/>
      <c r="E184" s="210"/>
      <c r="F184" s="211"/>
      <c r="G184" s="210"/>
      <c r="H184" s="211"/>
      <c r="I184" s="210"/>
      <c r="J184" s="211"/>
      <c r="K184" s="210"/>
      <c r="L184" s="211"/>
      <c r="M184" s="245"/>
    </row>
    <row r="185" spans="1:13" ht="30" customHeight="1">
      <c r="A185" s="217" t="s">
        <v>567</v>
      </c>
      <c r="B185" s="217" t="s">
        <v>652</v>
      </c>
      <c r="C185" s="218" t="s">
        <v>176</v>
      </c>
      <c r="D185" s="219">
        <v>1</v>
      </c>
      <c r="E185" s="220">
        <f>단가대비표!L21</f>
        <v>7620</v>
      </c>
      <c r="F185" s="237">
        <f>E185*D185</f>
        <v>7620</v>
      </c>
      <c r="G185" s="220">
        <v>0</v>
      </c>
      <c r="H185" s="237">
        <f>G185*D185</f>
        <v>0</v>
      </c>
      <c r="I185" s="220">
        <v>0</v>
      </c>
      <c r="J185" s="237">
        <f t="shared" ref="J185" si="139">I185*D185</f>
        <v>0</v>
      </c>
      <c r="K185" s="236">
        <f t="shared" ref="K185" si="140">TRUNC(E185+G185+I185,1)</f>
        <v>7620</v>
      </c>
      <c r="L185" s="237">
        <f t="shared" ref="L185" si="141">TRUNC(F185+H185+J185,1)</f>
        <v>7620</v>
      </c>
      <c r="M185" s="169" t="s">
        <v>149</v>
      </c>
    </row>
    <row r="186" spans="1:13" ht="30" customHeight="1">
      <c r="A186" s="212" t="s">
        <v>120</v>
      </c>
      <c r="B186" s="212" t="s">
        <v>468</v>
      </c>
      <c r="C186" s="218" t="s">
        <v>180</v>
      </c>
      <c r="D186" s="235">
        <v>0.124</v>
      </c>
      <c r="E186" s="215"/>
      <c r="F186" s="237"/>
      <c r="G186" s="215">
        <f>단가대비표!L12</f>
        <v>221409</v>
      </c>
      <c r="H186" s="237">
        <f t="shared" ref="H186:H187" si="142">G186*D186</f>
        <v>27454.716</v>
      </c>
      <c r="I186" s="215"/>
      <c r="J186" s="237">
        <f t="shared" ref="J186:J187" si="143">I186*D186</f>
        <v>0</v>
      </c>
      <c r="K186" s="236">
        <f t="shared" ref="K186:K187" si="144">TRUNC(E186+G186+I186,1)</f>
        <v>221409</v>
      </c>
      <c r="L186" s="237">
        <f t="shared" ref="L186:L187" si="145">TRUNC(F186+H186+J186,1)</f>
        <v>27454.7</v>
      </c>
      <c r="M186" s="168"/>
    </row>
    <row r="187" spans="1:13" ht="30" customHeight="1">
      <c r="A187" s="212" t="s">
        <v>120</v>
      </c>
      <c r="B187" s="212" t="s">
        <v>302</v>
      </c>
      <c r="C187" s="218" t="s">
        <v>180</v>
      </c>
      <c r="D187" s="235">
        <v>1.7000000000000001E-2</v>
      </c>
      <c r="E187" s="215"/>
      <c r="F187" s="237"/>
      <c r="G187" s="215">
        <f>단가대비표!L7</f>
        <v>148510</v>
      </c>
      <c r="H187" s="237">
        <f t="shared" si="142"/>
        <v>2524.67</v>
      </c>
      <c r="I187" s="215"/>
      <c r="J187" s="237">
        <f t="shared" si="143"/>
        <v>0</v>
      </c>
      <c r="K187" s="236">
        <f t="shared" si="144"/>
        <v>148510</v>
      </c>
      <c r="L187" s="237">
        <f t="shared" si="145"/>
        <v>2524.6</v>
      </c>
      <c r="M187" s="168"/>
    </row>
    <row r="188" spans="1:13" ht="30" customHeight="1">
      <c r="A188" s="212"/>
      <c r="B188" s="212"/>
      <c r="C188" s="213"/>
      <c r="D188" s="214"/>
      <c r="E188" s="215"/>
      <c r="F188" s="216"/>
      <c r="G188" s="215"/>
      <c r="H188" s="216"/>
      <c r="I188" s="215"/>
      <c r="J188" s="216"/>
      <c r="K188" s="215"/>
      <c r="L188" s="216"/>
      <c r="M188" s="168"/>
    </row>
    <row r="189" spans="1:13" ht="30" customHeight="1">
      <c r="A189" s="212" t="s">
        <v>150</v>
      </c>
      <c r="B189" s="212" t="s">
        <v>149</v>
      </c>
      <c r="C189" s="213" t="s">
        <v>149</v>
      </c>
      <c r="D189" s="214"/>
      <c r="E189" s="215"/>
      <c r="F189" s="216">
        <f>SUM(F185:F188)</f>
        <v>7620</v>
      </c>
      <c r="G189" s="215"/>
      <c r="H189" s="216">
        <f>SUM(H185:H188)</f>
        <v>29979.385999999999</v>
      </c>
      <c r="I189" s="215"/>
      <c r="J189" s="216">
        <f>SUM(J185:J188)</f>
        <v>0</v>
      </c>
      <c r="K189" s="215"/>
      <c r="L189" s="216">
        <f>SUM(L185:L188)</f>
        <v>37599.299999999996</v>
      </c>
      <c r="M189" s="168" t="s">
        <v>149</v>
      </c>
    </row>
    <row r="190" spans="1:13" ht="30" customHeight="1">
      <c r="A190" s="383" t="s">
        <v>719</v>
      </c>
      <c r="B190" s="384"/>
      <c r="C190" s="243" t="s">
        <v>177</v>
      </c>
      <c r="D190" s="244"/>
      <c r="E190" s="210"/>
      <c r="F190" s="211"/>
      <c r="G190" s="210"/>
      <c r="H190" s="211"/>
      <c r="I190" s="210"/>
      <c r="J190" s="211"/>
      <c r="K190" s="210"/>
      <c r="L190" s="211"/>
      <c r="M190" s="245"/>
    </row>
    <row r="191" spans="1:13" ht="30" customHeight="1">
      <c r="A191" s="217" t="s">
        <v>653</v>
      </c>
      <c r="B191" s="217" t="s">
        <v>467</v>
      </c>
      <c r="C191" s="218" t="s">
        <v>176</v>
      </c>
      <c r="D191" s="219">
        <v>1</v>
      </c>
      <c r="E191" s="220">
        <f>단가대비표!L80</f>
        <v>64000</v>
      </c>
      <c r="F191" s="237">
        <f>E191*D191</f>
        <v>64000</v>
      </c>
      <c r="G191" s="220">
        <v>0</v>
      </c>
      <c r="H191" s="237">
        <f>G191*D191</f>
        <v>0</v>
      </c>
      <c r="I191" s="220">
        <v>0</v>
      </c>
      <c r="J191" s="237">
        <f t="shared" ref="J191:J193" si="146">I191*D191</f>
        <v>0</v>
      </c>
      <c r="K191" s="236">
        <f t="shared" ref="K191:K193" si="147">TRUNC(E191+G191+I191,1)</f>
        <v>64000</v>
      </c>
      <c r="L191" s="237">
        <f t="shared" ref="L191:L193" si="148">TRUNC(F191+H191+J191,1)</f>
        <v>64000</v>
      </c>
      <c r="M191" s="169" t="s">
        <v>149</v>
      </c>
    </row>
    <row r="192" spans="1:13" ht="30" customHeight="1">
      <c r="A192" s="212" t="s">
        <v>120</v>
      </c>
      <c r="B192" s="212" t="s">
        <v>289</v>
      </c>
      <c r="C192" s="218" t="s">
        <v>180</v>
      </c>
      <c r="D192" s="235">
        <v>8.3000000000000004E-2</v>
      </c>
      <c r="E192" s="215"/>
      <c r="F192" s="237"/>
      <c r="G192" s="215">
        <f>단가대비표!L12</f>
        <v>221409</v>
      </c>
      <c r="H192" s="237">
        <f t="shared" ref="H192:H193" si="149">G192*D192</f>
        <v>18376.947</v>
      </c>
      <c r="I192" s="215"/>
      <c r="J192" s="237">
        <f t="shared" si="146"/>
        <v>0</v>
      </c>
      <c r="K192" s="236">
        <f t="shared" si="147"/>
        <v>221409</v>
      </c>
      <c r="L192" s="237">
        <f t="shared" si="148"/>
        <v>18376.900000000001</v>
      </c>
      <c r="M192" s="168"/>
    </row>
    <row r="193" spans="1:13" ht="30" customHeight="1">
      <c r="A193" s="212" t="s">
        <v>120</v>
      </c>
      <c r="B193" s="212" t="s">
        <v>188</v>
      </c>
      <c r="C193" s="218" t="s">
        <v>180</v>
      </c>
      <c r="D193" s="235">
        <v>1.2999999999999999E-2</v>
      </c>
      <c r="E193" s="215"/>
      <c r="F193" s="237"/>
      <c r="G193" s="215">
        <f>단가대비표!L7</f>
        <v>148510</v>
      </c>
      <c r="H193" s="237">
        <f t="shared" si="149"/>
        <v>1930.6299999999999</v>
      </c>
      <c r="I193" s="215"/>
      <c r="J193" s="237">
        <f t="shared" si="146"/>
        <v>0</v>
      </c>
      <c r="K193" s="236">
        <f t="shared" si="147"/>
        <v>148510</v>
      </c>
      <c r="L193" s="237">
        <f t="shared" si="148"/>
        <v>1930.6</v>
      </c>
      <c r="M193" s="168"/>
    </row>
    <row r="194" spans="1:13" ht="30" customHeight="1">
      <c r="A194" s="212"/>
      <c r="B194" s="212"/>
      <c r="C194" s="213"/>
      <c r="D194" s="214"/>
      <c r="E194" s="215"/>
      <c r="F194" s="216"/>
      <c r="G194" s="215"/>
      <c r="H194" s="216"/>
      <c r="I194" s="215"/>
      <c r="J194" s="216"/>
      <c r="K194" s="215"/>
      <c r="L194" s="216"/>
      <c r="M194" s="168"/>
    </row>
    <row r="195" spans="1:13" ht="30" customHeight="1">
      <c r="A195" s="212" t="s">
        <v>150</v>
      </c>
      <c r="B195" s="212" t="s">
        <v>149</v>
      </c>
      <c r="C195" s="213" t="s">
        <v>149</v>
      </c>
      <c r="D195" s="214"/>
      <c r="E195" s="215"/>
      <c r="F195" s="216">
        <f>SUM(F191:F194)</f>
        <v>64000</v>
      </c>
      <c r="G195" s="215"/>
      <c r="H195" s="216">
        <f>SUM(H191:H194)</f>
        <v>20307.577000000001</v>
      </c>
      <c r="I195" s="215"/>
      <c r="J195" s="216">
        <f>SUM(J191:J194)</f>
        <v>0</v>
      </c>
      <c r="K195" s="215"/>
      <c r="L195" s="216">
        <f>SUM(L191:L194)</f>
        <v>84307.5</v>
      </c>
      <c r="M195" s="168" t="s">
        <v>149</v>
      </c>
    </row>
    <row r="196" spans="1:13" ht="30" customHeight="1">
      <c r="A196" s="383" t="s">
        <v>720</v>
      </c>
      <c r="B196" s="384"/>
      <c r="C196" s="243" t="s">
        <v>230</v>
      </c>
      <c r="D196" s="244"/>
      <c r="E196" s="210"/>
      <c r="F196" s="211"/>
      <c r="G196" s="210"/>
      <c r="H196" s="211"/>
      <c r="I196" s="210"/>
      <c r="J196" s="211"/>
      <c r="K196" s="210"/>
      <c r="L196" s="211"/>
      <c r="M196" s="245"/>
    </row>
    <row r="197" spans="1:13" ht="30" customHeight="1">
      <c r="A197" s="217" t="s">
        <v>470</v>
      </c>
      <c r="B197" s="217"/>
      <c r="C197" s="218" t="s">
        <v>471</v>
      </c>
      <c r="D197" s="219">
        <v>1</v>
      </c>
      <c r="E197" s="220">
        <f>단가대비표!L69</f>
        <v>154</v>
      </c>
      <c r="F197" s="237">
        <f>E197*D197</f>
        <v>154</v>
      </c>
      <c r="G197" s="220">
        <v>0</v>
      </c>
      <c r="H197" s="237">
        <f>G197*D197</f>
        <v>0</v>
      </c>
      <c r="I197" s="220">
        <v>0</v>
      </c>
      <c r="J197" s="237">
        <f t="shared" ref="J197:J199" si="150">I197*D197</f>
        <v>0</v>
      </c>
      <c r="K197" s="236">
        <f t="shared" ref="K197:K199" si="151">TRUNC(E197+G197+I197,1)</f>
        <v>154</v>
      </c>
      <c r="L197" s="237">
        <f t="shared" ref="L197:L199" si="152">TRUNC(F197+H197+J197,1)</f>
        <v>154</v>
      </c>
      <c r="M197" s="169" t="s">
        <v>149</v>
      </c>
    </row>
    <row r="198" spans="1:13" ht="30" customHeight="1">
      <c r="A198" s="212" t="s">
        <v>120</v>
      </c>
      <c r="B198" s="212" t="s">
        <v>472</v>
      </c>
      <c r="C198" s="218" t="s">
        <v>180</v>
      </c>
      <c r="D198" s="235">
        <v>1.4999999999999999E-2</v>
      </c>
      <c r="E198" s="215"/>
      <c r="F198" s="237"/>
      <c r="G198" s="215">
        <f>단가대비표!L16</f>
        <v>184209</v>
      </c>
      <c r="H198" s="237">
        <f t="shared" ref="H198:H199" si="153">G198*D198</f>
        <v>2763.1349999999998</v>
      </c>
      <c r="I198" s="215"/>
      <c r="J198" s="237">
        <f t="shared" si="150"/>
        <v>0</v>
      </c>
      <c r="K198" s="236">
        <f t="shared" si="151"/>
        <v>184209</v>
      </c>
      <c r="L198" s="237">
        <f t="shared" si="152"/>
        <v>2763.1</v>
      </c>
      <c r="M198" s="168"/>
    </row>
    <row r="199" spans="1:13" ht="30" customHeight="1">
      <c r="A199" s="212" t="s">
        <v>120</v>
      </c>
      <c r="B199" s="212" t="s">
        <v>302</v>
      </c>
      <c r="C199" s="218" t="s">
        <v>180</v>
      </c>
      <c r="D199" s="235">
        <v>7.0000000000000001E-3</v>
      </c>
      <c r="E199" s="215"/>
      <c r="F199" s="237"/>
      <c r="G199" s="215">
        <f>단가대비표!L7</f>
        <v>148510</v>
      </c>
      <c r="H199" s="237">
        <f t="shared" si="153"/>
        <v>1039.57</v>
      </c>
      <c r="I199" s="215"/>
      <c r="J199" s="237">
        <f t="shared" si="150"/>
        <v>0</v>
      </c>
      <c r="K199" s="236">
        <f t="shared" si="151"/>
        <v>148510</v>
      </c>
      <c r="L199" s="237">
        <f t="shared" si="152"/>
        <v>1039.5</v>
      </c>
      <c r="M199" s="168"/>
    </row>
    <row r="200" spans="1:13" ht="30" customHeight="1">
      <c r="A200" s="212"/>
      <c r="B200" s="212"/>
      <c r="C200" s="213"/>
      <c r="D200" s="214"/>
      <c r="E200" s="215"/>
      <c r="F200" s="216"/>
      <c r="G200" s="215"/>
      <c r="H200" s="216"/>
      <c r="I200" s="215"/>
      <c r="J200" s="216"/>
      <c r="K200" s="215"/>
      <c r="L200" s="216"/>
      <c r="M200" s="168"/>
    </row>
    <row r="201" spans="1:13" ht="30" customHeight="1">
      <c r="A201" s="212" t="s">
        <v>150</v>
      </c>
      <c r="B201" s="212" t="s">
        <v>149</v>
      </c>
      <c r="C201" s="213" t="s">
        <v>149</v>
      </c>
      <c r="D201" s="214"/>
      <c r="E201" s="215"/>
      <c r="F201" s="216">
        <f>SUM(F197:F200)</f>
        <v>154</v>
      </c>
      <c r="G201" s="215"/>
      <c r="H201" s="216">
        <f>SUM(H197:H200)</f>
        <v>3802.7049999999999</v>
      </c>
      <c r="I201" s="215"/>
      <c r="J201" s="216">
        <f>SUM(J197:J200)</f>
        <v>0</v>
      </c>
      <c r="K201" s="215"/>
      <c r="L201" s="216">
        <f>SUM(L197:L200)</f>
        <v>3956.6</v>
      </c>
      <c r="M201" s="168" t="s">
        <v>149</v>
      </c>
    </row>
    <row r="202" spans="1:13" ht="30" customHeight="1">
      <c r="A202" s="383" t="s">
        <v>721</v>
      </c>
      <c r="B202" s="384"/>
      <c r="C202" s="243" t="s">
        <v>177</v>
      </c>
      <c r="D202" s="244"/>
      <c r="E202" s="210"/>
      <c r="F202" s="211"/>
      <c r="G202" s="210"/>
      <c r="H202" s="211"/>
      <c r="I202" s="210"/>
      <c r="J202" s="211"/>
      <c r="K202" s="210"/>
      <c r="L202" s="211"/>
      <c r="M202" s="245"/>
    </row>
    <row r="203" spans="1:13" ht="30" customHeight="1">
      <c r="A203" s="212" t="s">
        <v>313</v>
      </c>
      <c r="B203" s="212" t="s">
        <v>314</v>
      </c>
      <c r="C203" s="218" t="s">
        <v>230</v>
      </c>
      <c r="D203" s="219">
        <v>1.52</v>
      </c>
      <c r="E203" s="220">
        <f>단가대비표!L71</f>
        <v>61.111111111111114</v>
      </c>
      <c r="F203" s="237">
        <f t="shared" ref="F203:F204" si="154">E203*D203</f>
        <v>92.8888888888889</v>
      </c>
      <c r="G203" s="220"/>
      <c r="H203" s="221"/>
      <c r="I203" s="220"/>
      <c r="J203" s="221"/>
      <c r="K203" s="236">
        <f t="shared" ref="K203:K209" si="155">TRUNC(E203+G203+I203,1)</f>
        <v>61.1</v>
      </c>
      <c r="L203" s="237">
        <f t="shared" ref="L203:L209" si="156">TRUNC(F203+H203+J203,1)</f>
        <v>92.8</v>
      </c>
      <c r="M203" s="169"/>
    </row>
    <row r="204" spans="1:13" ht="30" customHeight="1">
      <c r="A204" s="212" t="s">
        <v>315</v>
      </c>
      <c r="B204" s="212"/>
      <c r="C204" s="218" t="s">
        <v>186</v>
      </c>
      <c r="D204" s="219">
        <v>0.32500000000000001</v>
      </c>
      <c r="E204" s="220">
        <f>단가대비표!L62</f>
        <v>1800</v>
      </c>
      <c r="F204" s="237">
        <f t="shared" si="154"/>
        <v>585</v>
      </c>
      <c r="G204" s="220"/>
      <c r="H204" s="221"/>
      <c r="I204" s="220"/>
      <c r="J204" s="221"/>
      <c r="K204" s="236">
        <f t="shared" si="155"/>
        <v>1800</v>
      </c>
      <c r="L204" s="237">
        <f t="shared" si="156"/>
        <v>585</v>
      </c>
      <c r="M204" s="169"/>
    </row>
    <row r="205" spans="1:13" ht="30" customHeight="1">
      <c r="A205" s="217" t="s">
        <v>296</v>
      </c>
      <c r="B205" s="217" t="s">
        <v>297</v>
      </c>
      <c r="C205" s="218" t="s">
        <v>186</v>
      </c>
      <c r="D205" s="219">
        <v>0.66700000000000004</v>
      </c>
      <c r="E205" s="220">
        <f>단가대비표!L43</f>
        <v>983.33333333333337</v>
      </c>
      <c r="F205" s="237">
        <f>E205*D205</f>
        <v>655.88333333333344</v>
      </c>
      <c r="G205" s="220"/>
      <c r="H205" s="237"/>
      <c r="I205" s="220"/>
      <c r="J205" s="237"/>
      <c r="K205" s="236">
        <f t="shared" si="155"/>
        <v>983.3</v>
      </c>
      <c r="L205" s="237">
        <f t="shared" si="156"/>
        <v>655.8</v>
      </c>
      <c r="M205" s="169" t="s">
        <v>149</v>
      </c>
    </row>
    <row r="206" spans="1:13" ht="30" customHeight="1">
      <c r="A206" s="217" t="s">
        <v>298</v>
      </c>
      <c r="B206" s="217" t="s">
        <v>299</v>
      </c>
      <c r="C206" s="218" t="s">
        <v>300</v>
      </c>
      <c r="D206" s="219">
        <v>0.18</v>
      </c>
      <c r="E206" s="220">
        <f>단가대비표!L49</f>
        <v>260</v>
      </c>
      <c r="F206" s="237">
        <f>E206*D206</f>
        <v>46.8</v>
      </c>
      <c r="G206" s="220"/>
      <c r="H206" s="237"/>
      <c r="I206" s="220"/>
      <c r="J206" s="237"/>
      <c r="K206" s="236">
        <f t="shared" si="155"/>
        <v>260</v>
      </c>
      <c r="L206" s="237">
        <f t="shared" si="156"/>
        <v>46.8</v>
      </c>
      <c r="M206" s="169" t="s">
        <v>149</v>
      </c>
    </row>
    <row r="207" spans="1:13" ht="30" customHeight="1">
      <c r="A207" s="212" t="s">
        <v>120</v>
      </c>
      <c r="B207" s="212" t="s">
        <v>301</v>
      </c>
      <c r="C207" s="218" t="s">
        <v>180</v>
      </c>
      <c r="D207" s="235">
        <f>0.066</f>
        <v>6.6000000000000003E-2</v>
      </c>
      <c r="E207" s="215"/>
      <c r="F207" s="237"/>
      <c r="G207" s="215">
        <f>단가대비표!L5</f>
        <v>229273</v>
      </c>
      <c r="H207" s="237">
        <f t="shared" ref="H207:H208" si="157">G207*D207</f>
        <v>15132.018</v>
      </c>
      <c r="I207" s="215"/>
      <c r="J207" s="237">
        <f t="shared" ref="J207:J209" si="158">I207*D207</f>
        <v>0</v>
      </c>
      <c r="K207" s="236">
        <f t="shared" si="155"/>
        <v>229273</v>
      </c>
      <c r="L207" s="237">
        <f t="shared" si="156"/>
        <v>15132</v>
      </c>
      <c r="M207" s="168"/>
    </row>
    <row r="208" spans="1:13" ht="30" customHeight="1">
      <c r="A208" s="212" t="s">
        <v>120</v>
      </c>
      <c r="B208" s="212" t="s">
        <v>189</v>
      </c>
      <c r="C208" s="218" t="s">
        <v>180</v>
      </c>
      <c r="D208" s="235">
        <f>0.018</f>
        <v>1.7999999999999999E-2</v>
      </c>
      <c r="E208" s="215"/>
      <c r="F208" s="237"/>
      <c r="G208" s="215">
        <f>단가대비표!L7</f>
        <v>148510</v>
      </c>
      <c r="H208" s="237">
        <f t="shared" si="157"/>
        <v>2673.18</v>
      </c>
      <c r="I208" s="215"/>
      <c r="J208" s="237">
        <f t="shared" si="158"/>
        <v>0</v>
      </c>
      <c r="K208" s="236">
        <f t="shared" si="155"/>
        <v>148510</v>
      </c>
      <c r="L208" s="237">
        <f t="shared" si="156"/>
        <v>2673.1</v>
      </c>
      <c r="M208" s="168"/>
    </row>
    <row r="209" spans="1:13" ht="30" customHeight="1">
      <c r="A209" s="212" t="s">
        <v>403</v>
      </c>
      <c r="B209" s="212" t="s">
        <v>404</v>
      </c>
      <c r="C209" s="213" t="s">
        <v>220</v>
      </c>
      <c r="D209" s="214" t="s">
        <v>260</v>
      </c>
      <c r="E209" s="215">
        <f>(H208+H207)*4%</f>
        <v>712.20792000000006</v>
      </c>
      <c r="F209" s="237">
        <f>E209*D209</f>
        <v>712.20792000000006</v>
      </c>
      <c r="G209" s="215"/>
      <c r="H209" s="237"/>
      <c r="I209" s="215"/>
      <c r="J209" s="237">
        <f t="shared" si="158"/>
        <v>0</v>
      </c>
      <c r="K209" s="236">
        <f t="shared" si="155"/>
        <v>712.2</v>
      </c>
      <c r="L209" s="237">
        <f t="shared" si="156"/>
        <v>712.2</v>
      </c>
      <c r="M209" s="168"/>
    </row>
    <row r="210" spans="1:13" ht="30" customHeight="1">
      <c r="A210" s="212"/>
      <c r="B210" s="212"/>
      <c r="C210" s="213"/>
      <c r="D210" s="214"/>
      <c r="E210" s="215"/>
      <c r="F210" s="216"/>
      <c r="G210" s="215"/>
      <c r="H210" s="216"/>
      <c r="I210" s="215"/>
      <c r="J210" s="216"/>
      <c r="K210" s="215"/>
      <c r="L210" s="216"/>
      <c r="M210" s="168"/>
    </row>
    <row r="211" spans="1:13" ht="30" customHeight="1">
      <c r="A211" s="212" t="s">
        <v>150</v>
      </c>
      <c r="B211" s="212" t="s">
        <v>149</v>
      </c>
      <c r="C211" s="213" t="s">
        <v>149</v>
      </c>
      <c r="D211" s="214"/>
      <c r="E211" s="215"/>
      <c r="F211" s="216">
        <f>SUM(F203:F210)</f>
        <v>2092.7801422222224</v>
      </c>
      <c r="G211" s="215"/>
      <c r="H211" s="216">
        <f>SUM(H203:H210)</f>
        <v>17805.198</v>
      </c>
      <c r="I211" s="215"/>
      <c r="J211" s="216">
        <f>SUM(J203:J210)</f>
        <v>0</v>
      </c>
      <c r="K211" s="215"/>
      <c r="L211" s="216">
        <f>SUM(L203:L210)</f>
        <v>19897.7</v>
      </c>
      <c r="M211" s="168" t="s">
        <v>149</v>
      </c>
    </row>
    <row r="212" spans="1:13" ht="30" customHeight="1">
      <c r="A212" s="383" t="s">
        <v>722</v>
      </c>
      <c r="B212" s="384"/>
      <c r="C212" s="243" t="s">
        <v>311</v>
      </c>
      <c r="D212" s="244"/>
      <c r="E212" s="210"/>
      <c r="F212" s="211"/>
      <c r="G212" s="210"/>
      <c r="H212" s="211"/>
      <c r="I212" s="210"/>
      <c r="J212" s="211"/>
      <c r="K212" s="210"/>
      <c r="L212" s="211"/>
      <c r="M212" s="245"/>
    </row>
    <row r="213" spans="1:13" ht="30" customHeight="1">
      <c r="A213" s="217" t="s">
        <v>308</v>
      </c>
      <c r="B213" s="217"/>
      <c r="C213" s="218" t="s">
        <v>309</v>
      </c>
      <c r="D213" s="219">
        <v>0.44</v>
      </c>
      <c r="E213" s="220">
        <f>단가대비표!L35</f>
        <v>4683.333333333333</v>
      </c>
      <c r="F213" s="237">
        <f>E213*D213</f>
        <v>2060.6666666666665</v>
      </c>
      <c r="G213" s="220"/>
      <c r="H213" s="237"/>
      <c r="I213" s="220"/>
      <c r="J213" s="237">
        <f t="shared" ref="J213:J216" si="159">I213*D213</f>
        <v>0</v>
      </c>
      <c r="K213" s="236">
        <f t="shared" ref="K213:K216" si="160">TRUNC(E213+G213+I213,1)</f>
        <v>4683.3</v>
      </c>
      <c r="L213" s="237">
        <f t="shared" ref="L213:L216" si="161">TRUNC(F213+H213+J213,1)</f>
        <v>2060.6</v>
      </c>
      <c r="M213" s="169" t="s">
        <v>149</v>
      </c>
    </row>
    <row r="214" spans="1:13" ht="30" customHeight="1">
      <c r="A214" s="212" t="s">
        <v>120</v>
      </c>
      <c r="B214" s="212" t="s">
        <v>301</v>
      </c>
      <c r="C214" s="218" t="s">
        <v>180</v>
      </c>
      <c r="D214" s="235">
        <f>0.012*2</f>
        <v>2.4E-2</v>
      </c>
      <c r="E214" s="220"/>
      <c r="F214" s="237"/>
      <c r="G214" s="220">
        <f>단가대비표!L5</f>
        <v>229273</v>
      </c>
      <c r="H214" s="237">
        <f>G214*D214</f>
        <v>5502.5519999999997</v>
      </c>
      <c r="I214" s="220"/>
      <c r="J214" s="237">
        <f t="shared" si="159"/>
        <v>0</v>
      </c>
      <c r="K214" s="236">
        <f t="shared" si="160"/>
        <v>229273</v>
      </c>
      <c r="L214" s="237">
        <f t="shared" si="161"/>
        <v>5502.5</v>
      </c>
      <c r="M214" s="169" t="s">
        <v>149</v>
      </c>
    </row>
    <row r="215" spans="1:13" ht="30" customHeight="1">
      <c r="A215" s="212" t="s">
        <v>120</v>
      </c>
      <c r="B215" s="212" t="s">
        <v>188</v>
      </c>
      <c r="C215" s="218" t="s">
        <v>180</v>
      </c>
      <c r="D215" s="235">
        <f>0.002*2</f>
        <v>4.0000000000000001E-3</v>
      </c>
      <c r="E215" s="215"/>
      <c r="F215" s="237"/>
      <c r="G215" s="215">
        <f>단가대비표!L7</f>
        <v>148510</v>
      </c>
      <c r="H215" s="237">
        <f t="shared" ref="H215:H216" si="162">G215*D215</f>
        <v>594.04</v>
      </c>
      <c r="I215" s="215"/>
      <c r="J215" s="237">
        <f t="shared" si="159"/>
        <v>0</v>
      </c>
      <c r="K215" s="236">
        <f t="shared" si="160"/>
        <v>148510</v>
      </c>
      <c r="L215" s="237">
        <f t="shared" si="161"/>
        <v>594</v>
      </c>
      <c r="M215" s="168"/>
    </row>
    <row r="216" spans="1:13" ht="30" customHeight="1">
      <c r="A216" s="212" t="s">
        <v>403</v>
      </c>
      <c r="B216" s="212" t="s">
        <v>288</v>
      </c>
      <c r="C216" s="218" t="s">
        <v>13</v>
      </c>
      <c r="D216" s="235">
        <v>1</v>
      </c>
      <c r="E216" s="215">
        <f>(H214+H215)*2%</f>
        <v>121.93183999999999</v>
      </c>
      <c r="F216" s="237">
        <f>E216*D216</f>
        <v>121.93183999999999</v>
      </c>
      <c r="G216" s="215"/>
      <c r="H216" s="237">
        <f t="shared" si="162"/>
        <v>0</v>
      </c>
      <c r="I216" s="215"/>
      <c r="J216" s="237">
        <f t="shared" si="159"/>
        <v>0</v>
      </c>
      <c r="K216" s="236">
        <f t="shared" si="160"/>
        <v>121.9</v>
      </c>
      <c r="L216" s="237">
        <f t="shared" si="161"/>
        <v>121.9</v>
      </c>
      <c r="M216" s="168"/>
    </row>
    <row r="217" spans="1:13" ht="30" customHeight="1">
      <c r="A217" s="212"/>
      <c r="B217" s="212"/>
      <c r="C217" s="213"/>
      <c r="D217" s="214"/>
      <c r="E217" s="215"/>
      <c r="F217" s="216"/>
      <c r="G217" s="215"/>
      <c r="H217" s="216"/>
      <c r="I217" s="215"/>
      <c r="J217" s="216"/>
      <c r="K217" s="215"/>
      <c r="L217" s="216"/>
      <c r="M217" s="168"/>
    </row>
    <row r="218" spans="1:13" ht="30" customHeight="1">
      <c r="A218" s="212" t="s">
        <v>150</v>
      </c>
      <c r="B218" s="212" t="s">
        <v>149</v>
      </c>
      <c r="C218" s="213" t="s">
        <v>149</v>
      </c>
      <c r="D218" s="214"/>
      <c r="E218" s="215"/>
      <c r="F218" s="216">
        <f>SUM(F213:F217)</f>
        <v>2182.5985066666667</v>
      </c>
      <c r="G218" s="215"/>
      <c r="H218" s="216">
        <f>SUM(H213:H217)</f>
        <v>6096.5919999999996</v>
      </c>
      <c r="I218" s="215"/>
      <c r="J218" s="216">
        <f>SUM(J213:J217)</f>
        <v>0</v>
      </c>
      <c r="K218" s="215"/>
      <c r="L218" s="216">
        <f>SUM(L213:L217)</f>
        <v>8279</v>
      </c>
      <c r="M218" s="168" t="s">
        <v>149</v>
      </c>
    </row>
    <row r="219" spans="1:13" ht="30" customHeight="1">
      <c r="A219" s="383" t="s">
        <v>723</v>
      </c>
      <c r="B219" s="384"/>
      <c r="C219" s="243" t="s">
        <v>311</v>
      </c>
      <c r="D219" s="244"/>
      <c r="E219" s="210"/>
      <c r="F219" s="211"/>
      <c r="G219" s="210"/>
      <c r="H219" s="211"/>
      <c r="I219" s="210"/>
      <c r="J219" s="211"/>
      <c r="K219" s="210"/>
      <c r="L219" s="211"/>
      <c r="M219" s="245"/>
    </row>
    <row r="220" spans="1:13" ht="30" customHeight="1">
      <c r="A220" s="217" t="s">
        <v>308</v>
      </c>
      <c r="B220" s="217"/>
      <c r="C220" s="218" t="s">
        <v>309</v>
      </c>
      <c r="D220" s="219">
        <v>0.44</v>
      </c>
      <c r="E220" s="220">
        <f>단가대비표!L35</f>
        <v>4683.333333333333</v>
      </c>
      <c r="F220" s="237">
        <f>E220*D220</f>
        <v>2060.6666666666665</v>
      </c>
      <c r="G220" s="220"/>
      <c r="H220" s="237"/>
      <c r="I220" s="220"/>
      <c r="J220" s="237">
        <f t="shared" ref="J220:J223" si="163">I220*D220</f>
        <v>0</v>
      </c>
      <c r="K220" s="236">
        <f t="shared" ref="K220:K223" si="164">TRUNC(E220+G220+I220,1)</f>
        <v>4683.3</v>
      </c>
      <c r="L220" s="237">
        <f t="shared" ref="L220:L223" si="165">TRUNC(F220+H220+J220,1)</f>
        <v>2060.6</v>
      </c>
      <c r="M220" s="169" t="s">
        <v>149</v>
      </c>
    </row>
    <row r="221" spans="1:13" ht="30" customHeight="1">
      <c r="A221" s="212" t="s">
        <v>120</v>
      </c>
      <c r="B221" s="212" t="s">
        <v>301</v>
      </c>
      <c r="C221" s="218" t="s">
        <v>180</v>
      </c>
      <c r="D221" s="235">
        <f>0.012*2*1.2</f>
        <v>2.8799999999999999E-2</v>
      </c>
      <c r="E221" s="220"/>
      <c r="F221" s="237"/>
      <c r="G221" s="220">
        <f>단가대비표!L5</f>
        <v>229273</v>
      </c>
      <c r="H221" s="237">
        <f>G221*D221</f>
        <v>6603.0623999999998</v>
      </c>
      <c r="I221" s="220"/>
      <c r="J221" s="237">
        <f t="shared" si="163"/>
        <v>0</v>
      </c>
      <c r="K221" s="236">
        <f t="shared" si="164"/>
        <v>229273</v>
      </c>
      <c r="L221" s="237">
        <f t="shared" si="165"/>
        <v>6603</v>
      </c>
      <c r="M221" s="169" t="s">
        <v>149</v>
      </c>
    </row>
    <row r="222" spans="1:13" ht="30" customHeight="1">
      <c r="A222" s="212" t="s">
        <v>120</v>
      </c>
      <c r="B222" s="212" t="s">
        <v>188</v>
      </c>
      <c r="C222" s="218" t="s">
        <v>180</v>
      </c>
      <c r="D222" s="235">
        <f>0.002*2*1.2</f>
        <v>4.7999999999999996E-3</v>
      </c>
      <c r="E222" s="215"/>
      <c r="F222" s="237"/>
      <c r="G222" s="215">
        <f>단가대비표!L7</f>
        <v>148510</v>
      </c>
      <c r="H222" s="237">
        <f t="shared" ref="H222:H223" si="166">G222*D222</f>
        <v>712.84799999999996</v>
      </c>
      <c r="I222" s="215"/>
      <c r="J222" s="237">
        <f t="shared" si="163"/>
        <v>0</v>
      </c>
      <c r="K222" s="236">
        <f t="shared" si="164"/>
        <v>148510</v>
      </c>
      <c r="L222" s="237">
        <f t="shared" si="165"/>
        <v>712.8</v>
      </c>
      <c r="M222" s="168"/>
    </row>
    <row r="223" spans="1:13" ht="30" customHeight="1">
      <c r="A223" s="212" t="s">
        <v>403</v>
      </c>
      <c r="B223" s="212" t="s">
        <v>288</v>
      </c>
      <c r="C223" s="218" t="s">
        <v>13</v>
      </c>
      <c r="D223" s="235">
        <v>1</v>
      </c>
      <c r="E223" s="215">
        <f>(H221+H222)*2%</f>
        <v>146.318208</v>
      </c>
      <c r="F223" s="237">
        <f>E223*D223</f>
        <v>146.318208</v>
      </c>
      <c r="G223" s="215"/>
      <c r="H223" s="237">
        <f t="shared" si="166"/>
        <v>0</v>
      </c>
      <c r="I223" s="215"/>
      <c r="J223" s="237">
        <f t="shared" si="163"/>
        <v>0</v>
      </c>
      <c r="K223" s="236">
        <f t="shared" si="164"/>
        <v>146.30000000000001</v>
      </c>
      <c r="L223" s="237">
        <f t="shared" si="165"/>
        <v>146.30000000000001</v>
      </c>
      <c r="M223" s="168"/>
    </row>
    <row r="224" spans="1:13" ht="30" customHeight="1">
      <c r="A224" s="212"/>
      <c r="B224" s="212"/>
      <c r="C224" s="213"/>
      <c r="D224" s="214"/>
      <c r="E224" s="215"/>
      <c r="F224" s="216"/>
      <c r="G224" s="215"/>
      <c r="H224" s="216"/>
      <c r="I224" s="215"/>
      <c r="J224" s="216"/>
      <c r="K224" s="215"/>
      <c r="L224" s="216"/>
      <c r="M224" s="168"/>
    </row>
    <row r="225" spans="1:13" ht="30" customHeight="1">
      <c r="A225" s="212" t="s">
        <v>150</v>
      </c>
      <c r="B225" s="212" t="s">
        <v>149</v>
      </c>
      <c r="C225" s="213" t="s">
        <v>149</v>
      </c>
      <c r="D225" s="214"/>
      <c r="E225" s="215"/>
      <c r="F225" s="216">
        <f>SUM(F220:F224)</f>
        <v>2206.9848746666667</v>
      </c>
      <c r="G225" s="215"/>
      <c r="H225" s="216">
        <f>SUM(H220:H224)</f>
        <v>7315.9103999999998</v>
      </c>
      <c r="I225" s="215"/>
      <c r="J225" s="216">
        <f>SUM(J220:J224)</f>
        <v>0</v>
      </c>
      <c r="K225" s="215"/>
      <c r="L225" s="216">
        <f>SUM(L220:L224)</f>
        <v>9522.6999999999989</v>
      </c>
      <c r="M225" s="168" t="s">
        <v>149</v>
      </c>
    </row>
    <row r="226" spans="1:13" ht="30" customHeight="1">
      <c r="A226" s="383" t="s">
        <v>724</v>
      </c>
      <c r="B226" s="384"/>
      <c r="C226" s="243" t="s">
        <v>311</v>
      </c>
      <c r="D226" s="244"/>
      <c r="E226" s="210"/>
      <c r="F226" s="211"/>
      <c r="G226" s="210"/>
      <c r="H226" s="211"/>
      <c r="I226" s="210"/>
      <c r="J226" s="211"/>
      <c r="K226" s="210"/>
      <c r="L226" s="211"/>
      <c r="M226" s="245"/>
    </row>
    <row r="227" spans="1:13" ht="30" customHeight="1">
      <c r="A227" s="212" t="s">
        <v>120</v>
      </c>
      <c r="B227" s="212" t="s">
        <v>301</v>
      </c>
      <c r="C227" s="218" t="s">
        <v>180</v>
      </c>
      <c r="D227" s="235">
        <v>5.0000000000000001E-3</v>
      </c>
      <c r="E227" s="220"/>
      <c r="F227" s="237"/>
      <c r="G227" s="220">
        <f>단가대비표!L5</f>
        <v>229273</v>
      </c>
      <c r="H227" s="237">
        <f>G227*D227</f>
        <v>1146.365</v>
      </c>
      <c r="I227" s="220"/>
      <c r="J227" s="237">
        <f t="shared" ref="J227:J229" si="167">I227*D227</f>
        <v>0</v>
      </c>
      <c r="K227" s="236">
        <f t="shared" ref="K227:K229" si="168">TRUNC(E227+G227+I227,1)</f>
        <v>229273</v>
      </c>
      <c r="L227" s="237">
        <f t="shared" ref="L227:L229" si="169">TRUNC(F227+H227+J227,1)</f>
        <v>1146.3</v>
      </c>
      <c r="M227" s="169" t="s">
        <v>149</v>
      </c>
    </row>
    <row r="228" spans="1:13" ht="30" customHeight="1">
      <c r="A228" s="212" t="s">
        <v>120</v>
      </c>
      <c r="B228" s="212" t="s">
        <v>188</v>
      </c>
      <c r="C228" s="218" t="s">
        <v>180</v>
      </c>
      <c r="D228" s="235">
        <v>1E-3</v>
      </c>
      <c r="E228" s="215"/>
      <c r="F228" s="237"/>
      <c r="G228" s="215">
        <f>단가대비표!L7</f>
        <v>148510</v>
      </c>
      <c r="H228" s="237">
        <f t="shared" ref="H228:H229" si="170">G228*D228</f>
        <v>148.51</v>
      </c>
      <c r="I228" s="215"/>
      <c r="J228" s="237">
        <f t="shared" si="167"/>
        <v>0</v>
      </c>
      <c r="K228" s="236">
        <f t="shared" si="168"/>
        <v>148510</v>
      </c>
      <c r="L228" s="237">
        <f t="shared" si="169"/>
        <v>148.5</v>
      </c>
      <c r="M228" s="168"/>
    </row>
    <row r="229" spans="1:13" ht="30" customHeight="1">
      <c r="A229" s="212" t="s">
        <v>403</v>
      </c>
      <c r="B229" s="212" t="s">
        <v>423</v>
      </c>
      <c r="C229" s="218" t="s">
        <v>13</v>
      </c>
      <c r="D229" s="235">
        <v>1</v>
      </c>
      <c r="E229" s="215">
        <f>(H227+H228)*3%</f>
        <v>38.846249999999998</v>
      </c>
      <c r="F229" s="237">
        <f>E229*D229</f>
        <v>38.846249999999998</v>
      </c>
      <c r="G229" s="215"/>
      <c r="H229" s="237">
        <f t="shared" si="170"/>
        <v>0</v>
      </c>
      <c r="I229" s="215"/>
      <c r="J229" s="237">
        <f t="shared" si="167"/>
        <v>0</v>
      </c>
      <c r="K229" s="236">
        <f t="shared" si="168"/>
        <v>38.799999999999997</v>
      </c>
      <c r="L229" s="237">
        <f t="shared" si="169"/>
        <v>38.799999999999997</v>
      </c>
      <c r="M229" s="168"/>
    </row>
    <row r="230" spans="1:13" ht="30" customHeight="1">
      <c r="A230" s="212"/>
      <c r="B230" s="212"/>
      <c r="C230" s="213"/>
      <c r="D230" s="214"/>
      <c r="E230" s="215"/>
      <c r="F230" s="216"/>
      <c r="G230" s="215"/>
      <c r="H230" s="216"/>
      <c r="I230" s="215"/>
      <c r="J230" s="216"/>
      <c r="K230" s="215"/>
      <c r="L230" s="216"/>
      <c r="M230" s="168"/>
    </row>
    <row r="231" spans="1:13" ht="30" customHeight="1">
      <c r="A231" s="212" t="s">
        <v>150</v>
      </c>
      <c r="B231" s="212" t="s">
        <v>149</v>
      </c>
      <c r="C231" s="213" t="s">
        <v>149</v>
      </c>
      <c r="D231" s="214"/>
      <c r="E231" s="215"/>
      <c r="F231" s="216">
        <f>SUM(F227:F230)</f>
        <v>38.846249999999998</v>
      </c>
      <c r="G231" s="215"/>
      <c r="H231" s="216">
        <f>SUM(H227:H230)</f>
        <v>1294.875</v>
      </c>
      <c r="I231" s="215"/>
      <c r="J231" s="216">
        <f>SUM(J227:J230)</f>
        <v>0</v>
      </c>
      <c r="K231" s="215"/>
      <c r="L231" s="216">
        <f>SUM(L227:L230)</f>
        <v>1333.6</v>
      </c>
      <c r="M231" s="168" t="s">
        <v>149</v>
      </c>
    </row>
    <row r="232" spans="1:13" ht="30" customHeight="1">
      <c r="A232" s="383" t="s">
        <v>725</v>
      </c>
      <c r="B232" s="384"/>
      <c r="C232" s="243" t="s">
        <v>545</v>
      </c>
      <c r="D232" s="244"/>
      <c r="E232" s="210"/>
      <c r="F232" s="211"/>
      <c r="G232" s="210"/>
      <c r="H232" s="211"/>
      <c r="I232" s="210"/>
      <c r="J232" s="211"/>
      <c r="K232" s="210"/>
      <c r="L232" s="211"/>
      <c r="M232" s="245"/>
    </row>
    <row r="233" spans="1:13" ht="30" customHeight="1">
      <c r="A233" s="303" t="s">
        <v>726</v>
      </c>
      <c r="B233" s="303"/>
      <c r="C233" s="218" t="s">
        <v>545</v>
      </c>
      <c r="D233" s="219">
        <v>1</v>
      </c>
      <c r="E233" s="220">
        <f>단가대비표!L26</f>
        <v>24000</v>
      </c>
      <c r="F233" s="237">
        <f t="shared" ref="F233" si="171">E233*D233</f>
        <v>24000</v>
      </c>
      <c r="G233" s="220"/>
      <c r="H233" s="221"/>
      <c r="I233" s="220"/>
      <c r="J233" s="237">
        <f t="shared" ref="J233" si="172">I233*D233</f>
        <v>0</v>
      </c>
      <c r="K233" s="236">
        <f t="shared" ref="K233" si="173">TRUNC(E233+G233+I233,1)</f>
        <v>24000</v>
      </c>
      <c r="L233" s="237">
        <f t="shared" ref="L233" si="174">TRUNC(F233+H233+J233,1)</f>
        <v>24000</v>
      </c>
      <c r="M233" s="169"/>
    </row>
    <row r="234" spans="1:13" ht="30" customHeight="1">
      <c r="A234" s="212" t="s">
        <v>120</v>
      </c>
      <c r="B234" s="212" t="s">
        <v>727</v>
      </c>
      <c r="C234" s="218" t="s">
        <v>187</v>
      </c>
      <c r="D234" s="219">
        <v>0.313</v>
      </c>
      <c r="E234" s="220"/>
      <c r="F234" s="237">
        <f t="shared" ref="F234" si="175">E234*D234</f>
        <v>0</v>
      </c>
      <c r="G234" s="220">
        <f>단가대비표!L19</f>
        <v>188856</v>
      </c>
      <c r="H234" s="237">
        <f>G234*D234</f>
        <v>59111.928</v>
      </c>
      <c r="I234" s="220"/>
      <c r="J234" s="237">
        <f t="shared" ref="J234" si="176">I234*D234</f>
        <v>0</v>
      </c>
      <c r="K234" s="236">
        <f t="shared" ref="K234" si="177">TRUNC(E234+G234+I234,1)</f>
        <v>188856</v>
      </c>
      <c r="L234" s="237">
        <f t="shared" ref="L234" si="178">TRUNC(F234+H234+J234,1)</f>
        <v>59111.9</v>
      </c>
      <c r="M234" s="169"/>
    </row>
    <row r="235" spans="1:13" ht="30" customHeight="1">
      <c r="A235" s="212"/>
      <c r="B235" s="212"/>
      <c r="C235" s="213"/>
      <c r="D235" s="214"/>
      <c r="E235" s="215"/>
      <c r="F235" s="216"/>
      <c r="G235" s="215"/>
      <c r="H235" s="216"/>
      <c r="I235" s="215"/>
      <c r="J235" s="216"/>
      <c r="K235" s="215"/>
      <c r="L235" s="216"/>
      <c r="M235" s="168"/>
    </row>
    <row r="236" spans="1:13" ht="30" customHeight="1">
      <c r="A236" s="212" t="s">
        <v>150</v>
      </c>
      <c r="B236" s="212" t="s">
        <v>149</v>
      </c>
      <c r="C236" s="213" t="s">
        <v>149</v>
      </c>
      <c r="D236" s="214"/>
      <c r="E236" s="215"/>
      <c r="F236" s="216">
        <f>SUM(F233:F235)</f>
        <v>24000</v>
      </c>
      <c r="G236" s="215"/>
      <c r="H236" s="216">
        <f>SUM(H233:H235)</f>
        <v>59111.928</v>
      </c>
      <c r="I236" s="215"/>
      <c r="J236" s="216">
        <f>SUM(J233:J235)</f>
        <v>0</v>
      </c>
      <c r="K236" s="215"/>
      <c r="L236" s="216">
        <f>SUM(L233:L235)</f>
        <v>83111.899999999994</v>
      </c>
      <c r="M236" s="168" t="s">
        <v>149</v>
      </c>
    </row>
    <row r="237" spans="1:13" ht="30" customHeight="1">
      <c r="A237" s="212"/>
      <c r="B237" s="212"/>
      <c r="C237" s="213"/>
      <c r="D237" s="214"/>
      <c r="E237" s="215"/>
      <c r="F237" s="216"/>
      <c r="G237" s="215"/>
      <c r="H237" s="216"/>
      <c r="I237" s="215"/>
      <c r="J237" s="216"/>
      <c r="K237" s="215"/>
      <c r="L237" s="216"/>
      <c r="M237" s="168"/>
    </row>
    <row r="238" spans="1:13" ht="30" customHeight="1">
      <c r="A238" s="303"/>
      <c r="B238" s="303"/>
      <c r="C238" s="218"/>
      <c r="D238" s="219"/>
      <c r="E238" s="220"/>
      <c r="F238" s="237"/>
      <c r="G238" s="220"/>
      <c r="H238" s="221"/>
      <c r="I238" s="220"/>
      <c r="J238" s="237"/>
      <c r="K238" s="236"/>
      <c r="L238" s="237"/>
      <c r="M238" s="169"/>
    </row>
    <row r="239" spans="1:13" ht="30" customHeight="1">
      <c r="A239" s="212"/>
      <c r="B239" s="212"/>
      <c r="C239" s="218"/>
      <c r="D239" s="219"/>
      <c r="E239" s="220"/>
      <c r="F239" s="237"/>
      <c r="G239" s="220"/>
      <c r="H239" s="237"/>
      <c r="I239" s="220"/>
      <c r="J239" s="237"/>
      <c r="K239" s="236"/>
      <c r="L239" s="237"/>
      <c r="M239" s="169"/>
    </row>
    <row r="240" spans="1:13" ht="30" customHeight="1">
      <c r="A240" s="212"/>
      <c r="B240" s="212"/>
      <c r="C240" s="218"/>
      <c r="D240" s="235"/>
      <c r="E240" s="220"/>
      <c r="F240" s="237"/>
      <c r="G240" s="220"/>
      <c r="H240" s="237"/>
      <c r="I240" s="220"/>
      <c r="J240" s="237"/>
      <c r="K240" s="236"/>
      <c r="L240" s="237"/>
      <c r="M240" s="169"/>
    </row>
    <row r="241" spans="1:13" ht="30" customHeight="1">
      <c r="A241" s="212"/>
      <c r="B241" s="212"/>
      <c r="C241" s="218"/>
      <c r="D241" s="214"/>
      <c r="E241" s="215"/>
      <c r="F241" s="216"/>
      <c r="G241" s="215"/>
      <c r="H241" s="216"/>
      <c r="I241" s="215"/>
      <c r="J241" s="216"/>
      <c r="K241" s="215"/>
      <c r="L241" s="216"/>
      <c r="M241" s="168"/>
    </row>
    <row r="242" spans="1:13" ht="30" customHeight="1"/>
    <row r="243" spans="1:13" ht="30" customHeight="1"/>
    <row r="244" spans="1:13" ht="30" customHeight="1"/>
    <row r="245" spans="1:13" ht="30" customHeight="1"/>
    <row r="246" spans="1:13" ht="30" customHeight="1"/>
    <row r="247" spans="1:13" ht="30" customHeight="1"/>
  </sheetData>
  <mergeCells count="43">
    <mergeCell ref="A196:B196"/>
    <mergeCell ref="A219:B219"/>
    <mergeCell ref="A156:B156"/>
    <mergeCell ref="A161:B161"/>
    <mergeCell ref="A232:B232"/>
    <mergeCell ref="A142:B142"/>
    <mergeCell ref="A19:B19"/>
    <mergeCell ref="A31:B31"/>
    <mergeCell ref="A25:B25"/>
    <mergeCell ref="A37:B37"/>
    <mergeCell ref="A43:B43"/>
    <mergeCell ref="A226:B226"/>
    <mergeCell ref="A190:B190"/>
    <mergeCell ref="M2:M3"/>
    <mergeCell ref="A4:B4"/>
    <mergeCell ref="A2:A3"/>
    <mergeCell ref="B2:B3"/>
    <mergeCell ref="C2:C3"/>
    <mergeCell ref="D2:D3"/>
    <mergeCell ref="E2:F2"/>
    <mergeCell ref="G2:H2"/>
    <mergeCell ref="I2:J2"/>
    <mergeCell ref="A212:B212"/>
    <mergeCell ref="A202:B202"/>
    <mergeCell ref="A170:B170"/>
    <mergeCell ref="A177:B177"/>
    <mergeCell ref="A82:B82"/>
    <mergeCell ref="K2:L2"/>
    <mergeCell ref="A8:B8"/>
    <mergeCell ref="A15:B15"/>
    <mergeCell ref="A57:B57"/>
    <mergeCell ref="A184:B184"/>
    <mergeCell ref="A146:B146"/>
    <mergeCell ref="A130:B130"/>
    <mergeCell ref="A74:B74"/>
    <mergeCell ref="A66:B66"/>
    <mergeCell ref="A114:B114"/>
    <mergeCell ref="A126:B126"/>
    <mergeCell ref="A151:B151"/>
    <mergeCell ref="A48:B48"/>
    <mergeCell ref="A99:B99"/>
    <mergeCell ref="A90:B90"/>
    <mergeCell ref="A107:B107"/>
  </mergeCells>
  <phoneticPr fontId="2" type="noConversion"/>
  <printOptions horizontalCentered="1"/>
  <pageMargins left="0.39370078740157483" right="0.39370078740157483" top="0.74803149606299213" bottom="0.74803149606299213" header="0.51181102362204722" footer="0.31496062992125984"/>
  <pageSetup paperSize="9" scale="74" fitToHeight="0" orientation="landscape" r:id="rId1"/>
  <headerFooter>
    <oddHeader>&amp;C일 위 대 가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99"/>
    <pageSetUpPr fitToPage="1"/>
  </sheetPr>
  <dimension ref="A1:I51"/>
  <sheetViews>
    <sheetView view="pageBreakPreview" zoomScale="75" zoomScaleNormal="100" zoomScaleSheetLayoutView="75" workbookViewId="0">
      <selection activeCell="D2" sqref="D2:M2"/>
    </sheetView>
  </sheetViews>
  <sheetFormatPr defaultColWidth="9" defaultRowHeight="13.5"/>
  <cols>
    <col min="1" max="1" width="4.625" style="164" customWidth="1"/>
    <col min="2" max="2" width="24.875" style="164" customWidth="1"/>
    <col min="3" max="3" width="18.625" style="164" customWidth="1"/>
    <col min="4" max="4" width="7.625" style="195" customWidth="1"/>
    <col min="5" max="5" width="11.75" style="195" customWidth="1"/>
    <col min="6" max="6" width="82.625" style="225" customWidth="1"/>
    <col min="7" max="7" width="8.625" style="164" customWidth="1"/>
    <col min="8" max="8" width="9" style="164"/>
    <col min="9" max="9" width="65.5" style="164" customWidth="1"/>
    <col min="10" max="16384" width="9" style="164"/>
  </cols>
  <sheetData>
    <row r="1" spans="1:7" ht="39.950000000000003" customHeight="1">
      <c r="A1" s="177" t="s">
        <v>167</v>
      </c>
      <c r="B1" s="177" t="s">
        <v>168</v>
      </c>
      <c r="C1" s="177" t="s">
        <v>169</v>
      </c>
      <c r="D1" s="177" t="s">
        <v>129</v>
      </c>
      <c r="E1" s="177" t="s">
        <v>130</v>
      </c>
      <c r="F1" s="177" t="s">
        <v>170</v>
      </c>
      <c r="G1" s="177" t="s">
        <v>131</v>
      </c>
    </row>
    <row r="2" spans="1:7" ht="20.100000000000001" customHeight="1">
      <c r="A2" s="186"/>
      <c r="B2" s="187" t="str">
        <f>내역서갑지!B4</f>
        <v>고양시 학교밖청소년 전용공간 조성공사</v>
      </c>
      <c r="C2" s="187"/>
      <c r="D2" s="193"/>
      <c r="E2" s="193"/>
      <c r="F2" s="222"/>
      <c r="G2" s="188"/>
    </row>
    <row r="3" spans="1:7" ht="20.100000000000001" customHeight="1">
      <c r="A3" s="189" t="s">
        <v>197</v>
      </c>
      <c r="B3" s="190" t="s">
        <v>172</v>
      </c>
      <c r="C3" s="190"/>
      <c r="D3" s="194"/>
      <c r="E3" s="194"/>
      <c r="F3" s="223"/>
      <c r="G3" s="191"/>
    </row>
    <row r="4" spans="1:7" ht="20.100000000000001" customHeight="1">
      <c r="A4" s="192"/>
      <c r="B4" s="190" t="s">
        <v>173</v>
      </c>
      <c r="C4" s="190"/>
      <c r="D4" s="194" t="s">
        <v>177</v>
      </c>
      <c r="E4" s="226">
        <f>221.01</f>
        <v>221.01</v>
      </c>
      <c r="F4" s="224" t="s">
        <v>616</v>
      </c>
      <c r="G4" s="191"/>
    </row>
    <row r="5" spans="1:7" ht="20.100000000000001" customHeight="1">
      <c r="A5" s="192"/>
      <c r="B5" s="190" t="s">
        <v>174</v>
      </c>
      <c r="C5" s="190"/>
      <c r="D5" s="194" t="s">
        <v>177</v>
      </c>
      <c r="E5" s="226">
        <f t="shared" ref="E5:E6" si="0">221.01</f>
        <v>221.01</v>
      </c>
      <c r="F5" s="224" t="s">
        <v>616</v>
      </c>
      <c r="G5" s="191"/>
    </row>
    <row r="6" spans="1:7" ht="20.100000000000001" customHeight="1">
      <c r="A6" s="192"/>
      <c r="B6" s="190" t="s">
        <v>175</v>
      </c>
      <c r="C6" s="190"/>
      <c r="D6" s="194" t="s">
        <v>177</v>
      </c>
      <c r="E6" s="226">
        <f t="shared" si="0"/>
        <v>221.01</v>
      </c>
      <c r="F6" s="224" t="s">
        <v>616</v>
      </c>
      <c r="G6" s="191"/>
    </row>
    <row r="7" spans="1:7" ht="20.100000000000001" customHeight="1">
      <c r="A7" s="189"/>
      <c r="B7" s="190"/>
      <c r="C7" s="190"/>
      <c r="D7" s="194"/>
      <c r="E7" s="227"/>
      <c r="F7" s="224"/>
      <c r="G7" s="191"/>
    </row>
    <row r="8" spans="1:7" ht="20.100000000000001" customHeight="1">
      <c r="A8" s="189" t="s">
        <v>198</v>
      </c>
      <c r="B8" s="190" t="s">
        <v>406</v>
      </c>
      <c r="C8" s="190"/>
      <c r="D8" s="194"/>
      <c r="E8" s="227"/>
      <c r="F8" s="224"/>
      <c r="G8" s="191"/>
    </row>
    <row r="9" spans="1:7" ht="20.100000000000001" customHeight="1">
      <c r="A9" s="189"/>
      <c r="B9" s="190" t="s">
        <v>515</v>
      </c>
      <c r="C9" s="190"/>
      <c r="D9" s="194" t="s">
        <v>176</v>
      </c>
      <c r="E9" s="226">
        <f>(4+4+9+2+4)*2.5-(0.9*2.1*3)</f>
        <v>51.83</v>
      </c>
      <c r="F9" s="224" t="s">
        <v>746</v>
      </c>
      <c r="G9" s="191"/>
    </row>
    <row r="10" spans="1:7" ht="20.100000000000001" customHeight="1">
      <c r="A10" s="189"/>
      <c r="B10" s="190" t="s">
        <v>514</v>
      </c>
      <c r="C10" s="190"/>
      <c r="D10" s="194" t="s">
        <v>176</v>
      </c>
      <c r="E10" s="227">
        <f>(4+4+9+2+4)*0.6</f>
        <v>13.799999999999999</v>
      </c>
      <c r="F10" s="224" t="s">
        <v>648</v>
      </c>
      <c r="G10" s="191"/>
    </row>
    <row r="11" spans="1:7" ht="20.100000000000001" customHeight="1">
      <c r="A11" s="189"/>
      <c r="B11" s="190" t="s">
        <v>511</v>
      </c>
      <c r="C11" s="190"/>
      <c r="D11" s="194" t="s">
        <v>176</v>
      </c>
      <c r="E11" s="227">
        <f>(4+4+9+2+4)*2.5*2-(0.9*2.1*3*2)</f>
        <v>103.66</v>
      </c>
      <c r="F11" s="224" t="s">
        <v>747</v>
      </c>
      <c r="G11" s="191"/>
    </row>
    <row r="12" spans="1:7" ht="20.100000000000001" customHeight="1">
      <c r="A12" s="189"/>
      <c r="B12" s="190" t="s">
        <v>668</v>
      </c>
      <c r="C12" s="190"/>
      <c r="D12" s="194" t="s">
        <v>176</v>
      </c>
      <c r="E12" s="227">
        <f>(4+4+9+2+4)*0.6</f>
        <v>13.799999999999999</v>
      </c>
      <c r="F12" s="224" t="s">
        <v>648</v>
      </c>
      <c r="G12" s="191"/>
    </row>
    <row r="13" spans="1:7" ht="20.100000000000001" customHeight="1">
      <c r="A13" s="189"/>
      <c r="B13" s="190" t="s">
        <v>666</v>
      </c>
      <c r="C13" s="190"/>
      <c r="D13" s="194" t="s">
        <v>176</v>
      </c>
      <c r="E13" s="227">
        <f>(4+4+9+2+4)*0.6</f>
        <v>13.799999999999999</v>
      </c>
      <c r="F13" s="224" t="s">
        <v>648</v>
      </c>
      <c r="G13" s="191"/>
    </row>
    <row r="14" spans="1:7" ht="20.100000000000001" customHeight="1">
      <c r="A14" s="189"/>
      <c r="B14" s="190"/>
      <c r="C14" s="190"/>
      <c r="D14" s="194"/>
      <c r="E14" s="226"/>
      <c r="F14" s="224"/>
      <c r="G14" s="191"/>
    </row>
    <row r="15" spans="1:7" ht="20.100000000000001" customHeight="1">
      <c r="A15" s="189"/>
      <c r="B15" s="190"/>
      <c r="C15" s="190"/>
      <c r="D15" s="194"/>
      <c r="E15" s="226"/>
      <c r="F15" s="224"/>
      <c r="G15" s="191"/>
    </row>
    <row r="16" spans="1:7" ht="20.100000000000001" customHeight="1">
      <c r="A16" s="189" t="s">
        <v>494</v>
      </c>
      <c r="B16" s="190" t="s">
        <v>222</v>
      </c>
      <c r="C16" s="190"/>
      <c r="D16" s="194"/>
      <c r="E16" s="227"/>
      <c r="F16" s="224"/>
      <c r="G16" s="191"/>
    </row>
    <row r="17" spans="1:8" ht="20.100000000000001" customHeight="1">
      <c r="A17" s="189"/>
      <c r="B17" s="190" t="s">
        <v>456</v>
      </c>
      <c r="C17" s="190" t="s">
        <v>618</v>
      </c>
      <c r="D17" s="194" t="s">
        <v>176</v>
      </c>
      <c r="E17" s="227">
        <f>(1.8*2)*4</f>
        <v>14.4</v>
      </c>
      <c r="F17" s="224" t="s">
        <v>619</v>
      </c>
      <c r="G17" s="191"/>
    </row>
    <row r="18" spans="1:8" ht="20.100000000000001" customHeight="1">
      <c r="A18" s="189"/>
      <c r="B18" s="190" t="s">
        <v>633</v>
      </c>
      <c r="C18" s="190" t="s">
        <v>634</v>
      </c>
      <c r="D18" s="194" t="s">
        <v>176</v>
      </c>
      <c r="E18" s="227">
        <f>(7.55+6.51+7.55+0.88+0.62)*2.5-(1*2.1*1)-(0.5*0.9*4)</f>
        <v>53.875</v>
      </c>
      <c r="F18" s="224" t="s">
        <v>744</v>
      </c>
      <c r="G18" s="191"/>
    </row>
    <row r="19" spans="1:8" ht="20.100000000000001" customHeight="1">
      <c r="A19" s="192"/>
      <c r="B19" s="190"/>
      <c r="C19" s="190"/>
      <c r="D19" s="194"/>
      <c r="E19" s="227"/>
      <c r="F19" s="223"/>
      <c r="G19" s="191"/>
    </row>
    <row r="20" spans="1:8" ht="20.100000000000001" customHeight="1">
      <c r="A20" s="189" t="s">
        <v>475</v>
      </c>
      <c r="B20" s="190" t="s">
        <v>210</v>
      </c>
      <c r="C20" s="190"/>
      <c r="D20" s="194"/>
      <c r="E20" s="194"/>
      <c r="F20" s="223"/>
      <c r="G20" s="191"/>
    </row>
    <row r="21" spans="1:8" ht="20.100000000000001" customHeight="1">
      <c r="A21" s="189"/>
      <c r="B21" s="190" t="s">
        <v>623</v>
      </c>
      <c r="C21" s="190"/>
      <c r="D21" s="194" t="s">
        <v>176</v>
      </c>
      <c r="E21" s="227">
        <f>41.16+(23*0.6)</f>
        <v>54.959999999999994</v>
      </c>
      <c r="F21" s="224" t="s">
        <v>733</v>
      </c>
      <c r="G21" s="191"/>
    </row>
    <row r="22" spans="1:8" ht="20.100000000000001" customHeight="1">
      <c r="A22" s="189"/>
      <c r="B22" s="190" t="s">
        <v>630</v>
      </c>
      <c r="C22" s="190"/>
      <c r="D22" s="194" t="s">
        <v>176</v>
      </c>
      <c r="E22" s="227">
        <f>(4+4+9+2+4)*0.6</f>
        <v>13.799999999999999</v>
      </c>
      <c r="F22" s="224" t="s">
        <v>648</v>
      </c>
      <c r="G22" s="191"/>
    </row>
    <row r="23" spans="1:8" ht="20.100000000000001" customHeight="1">
      <c r="A23" s="189"/>
      <c r="B23" s="190" t="s">
        <v>523</v>
      </c>
      <c r="C23" s="190" t="s">
        <v>600</v>
      </c>
      <c r="D23" s="194" t="s">
        <v>176</v>
      </c>
      <c r="E23" s="227">
        <f>14.4</f>
        <v>14.4</v>
      </c>
      <c r="F23" s="224" t="s">
        <v>660</v>
      </c>
      <c r="G23" s="191"/>
    </row>
    <row r="24" spans="1:8" ht="39.950000000000003" customHeight="1">
      <c r="A24" s="189"/>
      <c r="B24" s="190" t="s">
        <v>524</v>
      </c>
      <c r="C24" s="190" t="s">
        <v>600</v>
      </c>
      <c r="D24" s="194" t="s">
        <v>176</v>
      </c>
      <c r="E24" s="227">
        <f>(((1.8+1.8)*2.3+(0.41+0.41+0.55+0.55)*2.3+(1.19*1))*4+(7.65+7.65+9.66+5.34+4.45+0.62+0.88)*2.5)*2-(57.78/2)-(1*2.1*3*2)</f>
        <v>250.84799999999998</v>
      </c>
      <c r="F24" s="302" t="s">
        <v>662</v>
      </c>
      <c r="G24" s="191"/>
    </row>
    <row r="25" spans="1:8" ht="20.100000000000001" customHeight="1">
      <c r="A25" s="192"/>
      <c r="B25" s="294" t="s">
        <v>478</v>
      </c>
      <c r="C25" s="294"/>
      <c r="D25" s="295" t="s">
        <v>176</v>
      </c>
      <c r="E25" s="227">
        <f>((1.8+1.8+1.8)*2*4+(7.65+7.65+7.65+7.65+9.66+9.66+5.31+5.31+4.45+4.45))</f>
        <v>112.64000000000001</v>
      </c>
      <c r="F25" s="302" t="s">
        <v>631</v>
      </c>
      <c r="G25" s="191"/>
      <c r="H25" s="297"/>
    </row>
    <row r="26" spans="1:8" ht="20.100000000000001" customHeight="1">
      <c r="A26" s="192"/>
      <c r="B26" s="294" t="s">
        <v>495</v>
      </c>
      <c r="C26" s="294"/>
      <c r="D26" s="295" t="s">
        <v>176</v>
      </c>
      <c r="E26" s="227">
        <f>(7.55+6.51+7.55+0.88+0.62)*2.5-(1*2.1*1)-(0.5*0.9*4)</f>
        <v>53.875</v>
      </c>
      <c r="F26" s="224" t="s">
        <v>744</v>
      </c>
      <c r="G26" s="191"/>
      <c r="H26" s="297"/>
    </row>
    <row r="27" spans="1:8" ht="20.25" customHeight="1">
      <c r="A27" s="192"/>
      <c r="B27" s="294" t="s">
        <v>529</v>
      </c>
      <c r="C27" s="294" t="s">
        <v>530</v>
      </c>
      <c r="D27" s="295" t="s">
        <v>176</v>
      </c>
      <c r="E27" s="227">
        <f>+(7.65+7.65+9.66+5.34+4.45+0.62+0.88)*2.5-(1*2.1*3)-(0.5*0.9*8)</f>
        <v>80.725000000000009</v>
      </c>
      <c r="F27" s="302" t="s">
        <v>745</v>
      </c>
      <c r="G27" s="191"/>
      <c r="H27" s="297"/>
    </row>
    <row r="28" spans="1:8" ht="20.100000000000001" customHeight="1">
      <c r="A28" s="192"/>
      <c r="B28" s="190"/>
      <c r="C28" s="190"/>
      <c r="D28" s="194"/>
      <c r="E28" s="194"/>
      <c r="F28" s="223"/>
      <c r="G28" s="191"/>
    </row>
    <row r="29" spans="1:8" ht="20.100000000000001" customHeight="1">
      <c r="A29" s="189" t="s">
        <v>493</v>
      </c>
      <c r="B29" s="190" t="s">
        <v>246</v>
      </c>
      <c r="C29" s="190"/>
      <c r="D29" s="194"/>
      <c r="E29" s="194"/>
      <c r="F29" s="223"/>
      <c r="G29" s="191"/>
    </row>
    <row r="30" spans="1:8" ht="20.100000000000001" customHeight="1">
      <c r="A30" s="192"/>
      <c r="B30" s="190" t="s">
        <v>743</v>
      </c>
      <c r="C30" s="190" t="s">
        <v>392</v>
      </c>
      <c r="D30" s="194" t="s">
        <v>267</v>
      </c>
      <c r="E30" s="227">
        <f>(3.12+6.1+5.03)</f>
        <v>14.25</v>
      </c>
      <c r="F30" s="224" t="s">
        <v>636</v>
      </c>
      <c r="G30" s="191"/>
    </row>
    <row r="31" spans="1:8" ht="20.100000000000001" customHeight="1">
      <c r="A31" s="189"/>
      <c r="B31" s="190" t="s">
        <v>643</v>
      </c>
      <c r="C31" s="190" t="s">
        <v>644</v>
      </c>
      <c r="D31" s="194" t="s">
        <v>195</v>
      </c>
      <c r="E31" s="227">
        <f>(1.19+0.8+1.19+0.8)*4+(0.5+0.5+0.9+0.9)*8</f>
        <v>38.319999999999993</v>
      </c>
      <c r="F31" s="224" t="s">
        <v>696</v>
      </c>
      <c r="G31" s="191"/>
    </row>
    <row r="32" spans="1:8" ht="20.100000000000001" customHeight="1">
      <c r="A32" s="189"/>
      <c r="B32" s="190" t="s">
        <v>643</v>
      </c>
      <c r="C32" s="190" t="s">
        <v>645</v>
      </c>
      <c r="D32" s="194" t="s">
        <v>195</v>
      </c>
      <c r="E32" s="227">
        <f>(4.59+1.2+1.2+4.59)+(2.84+1.2+1.2+2.84)+(2.7+2.7+1.2+1.2)</f>
        <v>27.46</v>
      </c>
      <c r="F32" s="224" t="s">
        <v>697</v>
      </c>
      <c r="G32" s="191"/>
    </row>
    <row r="33" spans="1:9" ht="30" customHeight="1">
      <c r="A33" s="189"/>
      <c r="B33" s="190" t="s">
        <v>538</v>
      </c>
      <c r="C33" s="190" t="s">
        <v>541</v>
      </c>
      <c r="D33" s="194" t="s">
        <v>176</v>
      </c>
      <c r="E33" s="227">
        <f>((1.8+1.8)*2.3+(0.41+0.41+0.55+0.55)*2.3+(1.19*1))*4+(7.65+7.65+9.66+5.34+4.45+0.62+0.88)*2.5-(1*2.1*3)</f>
        <v>139.86899999999997</v>
      </c>
      <c r="F33" s="302" t="s">
        <v>661</v>
      </c>
      <c r="G33" s="191"/>
    </row>
    <row r="34" spans="1:9" ht="20.100000000000001" customHeight="1">
      <c r="A34" s="192"/>
      <c r="B34" s="190"/>
      <c r="C34" s="190"/>
      <c r="D34" s="194"/>
      <c r="E34" s="194"/>
      <c r="F34" s="223"/>
      <c r="G34" s="191"/>
    </row>
    <row r="35" spans="1:9" ht="20.100000000000001" customHeight="1">
      <c r="A35" s="189" t="s">
        <v>245</v>
      </c>
      <c r="B35" s="190" t="s">
        <v>481</v>
      </c>
      <c r="C35" s="190"/>
      <c r="D35" s="194"/>
      <c r="E35" s="194"/>
      <c r="F35" s="223"/>
      <c r="G35" s="191"/>
    </row>
    <row r="36" spans="1:9" ht="20.100000000000001" customHeight="1">
      <c r="A36" s="189"/>
      <c r="B36" s="190" t="s">
        <v>568</v>
      </c>
      <c r="C36" s="190"/>
      <c r="D36" s="194" t="s">
        <v>569</v>
      </c>
      <c r="E36" s="310">
        <v>3</v>
      </c>
      <c r="F36" s="224" t="s">
        <v>637</v>
      </c>
      <c r="G36" s="191"/>
    </row>
    <row r="37" spans="1:9" ht="20.100000000000001" customHeight="1">
      <c r="A37" s="189"/>
      <c r="B37" s="190" t="s">
        <v>639</v>
      </c>
      <c r="C37" s="190"/>
      <c r="D37" s="194" t="s">
        <v>569</v>
      </c>
      <c r="E37" s="310">
        <v>3</v>
      </c>
      <c r="F37" s="224" t="s">
        <v>637</v>
      </c>
      <c r="G37" s="191"/>
    </row>
    <row r="38" spans="1:9" ht="20.100000000000001" customHeight="1">
      <c r="A38" s="192"/>
      <c r="B38" s="190" t="s">
        <v>608</v>
      </c>
      <c r="C38" s="190"/>
      <c r="D38" s="194" t="s">
        <v>176</v>
      </c>
      <c r="E38" s="310">
        <f>(1.9*1*4)+(0.5*0.9)*8</f>
        <v>11.2</v>
      </c>
      <c r="F38" s="224" t="s">
        <v>638</v>
      </c>
      <c r="G38" s="191"/>
      <c r="H38" s="255"/>
      <c r="I38" s="255"/>
    </row>
    <row r="39" spans="1:9" ht="20.100000000000001" customHeight="1">
      <c r="A39" s="192"/>
      <c r="B39" s="190" t="s">
        <v>642</v>
      </c>
      <c r="C39" s="190"/>
      <c r="D39" s="194" t="s">
        <v>176</v>
      </c>
      <c r="E39" s="310">
        <f>(4.59*1.2)+(2.84*1.2)+(2.7*1.2)</f>
        <v>12.156000000000001</v>
      </c>
      <c r="F39" s="224" t="s">
        <v>650</v>
      </c>
      <c r="G39" s="191"/>
      <c r="H39" s="255"/>
      <c r="I39" s="255"/>
    </row>
    <row r="40" spans="1:9" ht="20.100000000000001" customHeight="1">
      <c r="A40" s="192"/>
      <c r="B40" s="190" t="s">
        <v>469</v>
      </c>
      <c r="C40" s="190"/>
      <c r="D40" s="194" t="s">
        <v>230</v>
      </c>
      <c r="E40" s="310">
        <f>(1.9+1+1.9+1)*4+(0.5+0.5+0.9+0.9)*8</f>
        <v>45.599999999999994</v>
      </c>
      <c r="F40" s="224" t="s">
        <v>640</v>
      </c>
      <c r="G40" s="191"/>
      <c r="H40" s="255"/>
      <c r="I40" s="255"/>
    </row>
    <row r="41" spans="1:9" ht="20.100000000000001" customHeight="1">
      <c r="A41" s="192"/>
      <c r="B41" s="190"/>
      <c r="C41" s="190"/>
      <c r="D41" s="194"/>
      <c r="E41" s="226"/>
      <c r="F41" s="224"/>
      <c r="G41" s="191"/>
    </row>
    <row r="42" spans="1:9" ht="20.100000000000001" customHeight="1">
      <c r="A42" s="189" t="s">
        <v>502</v>
      </c>
      <c r="B42" s="190" t="s">
        <v>291</v>
      </c>
      <c r="C42" s="190"/>
      <c r="D42" s="194"/>
      <c r="E42" s="194"/>
      <c r="F42" s="223"/>
      <c r="G42" s="191"/>
    </row>
    <row r="43" spans="1:9" ht="39.950000000000003" customHeight="1">
      <c r="A43" s="192"/>
      <c r="B43" s="190" t="s">
        <v>294</v>
      </c>
      <c r="C43" s="190" t="s">
        <v>479</v>
      </c>
      <c r="D43" s="194" t="s">
        <v>176</v>
      </c>
      <c r="E43" s="310">
        <f>((1.8*2.3*2)+(0.41+0.41+0.55+0.55)*2.3*2+(1.9*1*2))*4+(7.63+9.64+4.4+2.4)*2.5+(4.34+4.34+2.84+2.84)*2.5+(2.7+5.34+2.7)*2.5+(1.8*2)*4-(1*2.1*3)*2</f>
        <v>208.37300000000002</v>
      </c>
      <c r="F43" s="298" t="s">
        <v>698</v>
      </c>
      <c r="G43" s="191"/>
      <c r="H43" s="255"/>
      <c r="I43" s="255"/>
    </row>
    <row r="44" spans="1:9" ht="39.950000000000003" customHeight="1">
      <c r="A44" s="192"/>
      <c r="B44" s="190" t="s">
        <v>295</v>
      </c>
      <c r="C44" s="190" t="s">
        <v>479</v>
      </c>
      <c r="D44" s="194" t="s">
        <v>176</v>
      </c>
      <c r="E44" s="310">
        <f>((1.8*2.3*2)+(0.41+0.41+0.55+0.55)*2.3*2+(1.9*1*2))*4+(7.63+9.64+4.4+2.4)*2.5+(4.34+4.34+2.84+2.84)*2.5+(2.7+5.34+2.7)*2.5-(1*2.1*3*2)</f>
        <v>193.97300000000001</v>
      </c>
      <c r="F44" s="298" t="s">
        <v>699</v>
      </c>
      <c r="G44" s="191"/>
      <c r="H44" s="255"/>
      <c r="I44" s="255"/>
    </row>
    <row r="45" spans="1:9" ht="20.100000000000001" customHeight="1">
      <c r="A45" s="192"/>
      <c r="B45" s="190" t="s">
        <v>295</v>
      </c>
      <c r="C45" s="190" t="s">
        <v>539</v>
      </c>
      <c r="D45" s="194" t="s">
        <v>176</v>
      </c>
      <c r="E45" s="310">
        <f>(1.8*2*4)</f>
        <v>14.4</v>
      </c>
      <c r="F45" s="298" t="s">
        <v>646</v>
      </c>
      <c r="G45" s="191"/>
      <c r="H45" s="255"/>
      <c r="I45" s="255"/>
    </row>
    <row r="46" spans="1:9" ht="39.6" customHeight="1">
      <c r="A46" s="192"/>
      <c r="B46" s="190" t="s">
        <v>484</v>
      </c>
      <c r="C46" s="190"/>
      <c r="D46" s="194" t="s">
        <v>176</v>
      </c>
      <c r="E46" s="310">
        <f>((1.8*2.3*2)+(0.41+0.41+0.55+0.55)*2.3*2+(1.9*1*2))*4+(7.63+9.64+4.4+2.4)*2.5+(4.34+4.34+2.84+2.84)*2.5+(2.7+5.34+2.7)*2.5+(1.8*2)*4-(1*2.1*3*2)</f>
        <v>208.37300000000002</v>
      </c>
      <c r="F46" s="298" t="s">
        <v>700</v>
      </c>
      <c r="G46" s="191"/>
    </row>
    <row r="47" spans="1:9" ht="20.100000000000001" customHeight="1">
      <c r="A47" s="192"/>
      <c r="B47" s="190"/>
      <c r="C47" s="190"/>
      <c r="D47" s="194"/>
      <c r="E47" s="227"/>
      <c r="F47" s="298"/>
      <c r="G47" s="191"/>
    </row>
    <row r="48" spans="1:9" ht="20.100000000000001" customHeight="1">
      <c r="A48" s="192" t="s">
        <v>491</v>
      </c>
      <c r="B48" s="190" t="s">
        <v>601</v>
      </c>
      <c r="C48" s="190"/>
      <c r="D48" s="194"/>
      <c r="E48" s="227"/>
      <c r="F48" s="298"/>
      <c r="G48" s="191"/>
    </row>
    <row r="49" spans="1:7" ht="20.100000000000001" customHeight="1">
      <c r="A49" s="192"/>
      <c r="B49" s="190" t="s">
        <v>731</v>
      </c>
      <c r="C49" s="190"/>
      <c r="D49" s="194" t="s">
        <v>603</v>
      </c>
      <c r="E49" s="310">
        <v>4</v>
      </c>
      <c r="F49" s="224" t="s">
        <v>732</v>
      </c>
      <c r="G49" s="191"/>
    </row>
    <row r="50" spans="1:7" ht="20.100000000000001" customHeight="1">
      <c r="A50" s="192"/>
      <c r="B50" s="190"/>
      <c r="C50" s="190"/>
      <c r="D50" s="194"/>
      <c r="E50" s="310"/>
      <c r="F50" s="224"/>
      <c r="G50" s="191"/>
    </row>
    <row r="51" spans="1:7" ht="20.100000000000001" customHeight="1">
      <c r="A51" s="336"/>
      <c r="B51" s="337"/>
      <c r="C51" s="337"/>
      <c r="D51" s="338"/>
      <c r="E51" s="339"/>
      <c r="F51" s="340"/>
      <c r="G51" s="341"/>
    </row>
  </sheetData>
  <phoneticPr fontId="2" type="noConversion"/>
  <printOptions horizontalCentered="1"/>
  <pageMargins left="0.39370078740157483" right="0.39370078740157483" top="0.74803149606299213" bottom="0.74803149606299213" header="0.51181102362204722" footer="0.31496062992125984"/>
  <pageSetup paperSize="9" scale="80" fitToHeight="0" orientation="landscape" r:id="rId1"/>
  <headerFooter>
    <oddHeader>&amp;C물 량 산 출 서</oddHeader>
  </headerFooter>
  <rowBreaks count="1" manualBreakCount="1">
    <brk id="27" max="6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U106"/>
  <sheetViews>
    <sheetView view="pageBreakPreview" zoomScale="55" zoomScaleNormal="75" zoomScaleSheetLayoutView="55" workbookViewId="0">
      <pane ySplit="2" topLeftCell="A18" activePane="bottomLeft" state="frozen"/>
      <selection activeCell="D2" sqref="D2:M2"/>
      <selection pane="bottomLeft" activeCell="D2" sqref="D1:M2"/>
    </sheetView>
  </sheetViews>
  <sheetFormatPr defaultColWidth="9" defaultRowHeight="16.5"/>
  <cols>
    <col min="1" max="1" width="25.625" style="257" customWidth="1"/>
    <col min="2" max="2" width="24.625" style="257" customWidth="1"/>
    <col min="3" max="3" width="5.5" style="257" customWidth="1"/>
    <col min="4" max="4" width="13.375" style="257" customWidth="1"/>
    <col min="5" max="5" width="14.5" style="284" customWidth="1"/>
    <col min="6" max="6" width="13.375" style="257" customWidth="1"/>
    <col min="7" max="7" width="13.375" style="284" customWidth="1"/>
    <col min="8" max="8" width="13.375" style="257" customWidth="1"/>
    <col min="9" max="9" width="13.375" style="284" customWidth="1"/>
    <col min="10" max="13" width="13.375" style="257" customWidth="1"/>
    <col min="14" max="19" width="10.625" style="257" customWidth="1"/>
    <col min="20" max="21" width="13.375" style="257" customWidth="1"/>
    <col min="22" max="16384" width="9" style="257"/>
  </cols>
  <sheetData>
    <row r="1" spans="1:21" ht="30" customHeight="1">
      <c r="A1" s="392" t="s">
        <v>137</v>
      </c>
      <c r="B1" s="392" t="s">
        <v>110</v>
      </c>
      <c r="C1" s="392" t="s">
        <v>112</v>
      </c>
      <c r="D1" s="171"/>
      <c r="E1" s="172"/>
      <c r="F1" s="171"/>
      <c r="G1" s="172"/>
      <c r="H1" s="171" t="s">
        <v>139</v>
      </c>
      <c r="I1" s="172"/>
      <c r="J1" s="171"/>
      <c r="K1" s="171"/>
      <c r="L1" s="173"/>
      <c r="M1" s="394" t="s">
        <v>151</v>
      </c>
      <c r="N1" s="392" t="s">
        <v>152</v>
      </c>
      <c r="O1" s="392"/>
      <c r="P1" s="392"/>
      <c r="Q1" s="392"/>
      <c r="R1" s="392"/>
      <c r="S1" s="392"/>
      <c r="T1" s="392" t="s">
        <v>153</v>
      </c>
      <c r="U1" s="392" t="s">
        <v>143</v>
      </c>
    </row>
    <row r="2" spans="1:21" ht="30" customHeight="1">
      <c r="A2" s="392"/>
      <c r="B2" s="392"/>
      <c r="C2" s="393"/>
      <c r="D2" s="174" t="s">
        <v>154</v>
      </c>
      <c r="E2" s="175" t="s">
        <v>155</v>
      </c>
      <c r="F2" s="174" t="s">
        <v>156</v>
      </c>
      <c r="G2" s="175" t="s">
        <v>155</v>
      </c>
      <c r="H2" s="174" t="s">
        <v>157</v>
      </c>
      <c r="I2" s="175" t="s">
        <v>155</v>
      </c>
      <c r="J2" s="174" t="s">
        <v>158</v>
      </c>
      <c r="K2" s="175" t="s">
        <v>159</v>
      </c>
      <c r="L2" s="176" t="s">
        <v>160</v>
      </c>
      <c r="M2" s="395"/>
      <c r="N2" s="256" t="s">
        <v>161</v>
      </c>
      <c r="O2" s="256" t="s">
        <v>162</v>
      </c>
      <c r="P2" s="256" t="s">
        <v>163</v>
      </c>
      <c r="Q2" s="256" t="s">
        <v>164</v>
      </c>
      <c r="R2" s="256" t="s">
        <v>165</v>
      </c>
      <c r="S2" s="256" t="s">
        <v>166</v>
      </c>
      <c r="T2" s="392"/>
      <c r="U2" s="392"/>
    </row>
    <row r="3" spans="1:21" s="265" customFormat="1" ht="30" customHeight="1">
      <c r="A3" s="258" t="s">
        <v>179</v>
      </c>
      <c r="B3" s="258"/>
      <c r="C3" s="259" t="s">
        <v>180</v>
      </c>
      <c r="D3" s="260">
        <v>237273</v>
      </c>
      <c r="E3" s="261" t="s">
        <v>181</v>
      </c>
      <c r="F3" s="260"/>
      <c r="G3" s="261"/>
      <c r="H3" s="260"/>
      <c r="I3" s="261"/>
      <c r="J3" s="260"/>
      <c r="K3" s="262"/>
      <c r="L3" s="263">
        <f t="shared" ref="L3:L19" si="0">D3</f>
        <v>237273</v>
      </c>
      <c r="M3" s="264"/>
      <c r="N3" s="258"/>
      <c r="O3" s="258"/>
      <c r="P3" s="258"/>
      <c r="Q3" s="258"/>
      <c r="R3" s="258"/>
      <c r="S3" s="258"/>
      <c r="T3" s="258"/>
      <c r="U3" s="258"/>
    </row>
    <row r="4" spans="1:21" s="265" customFormat="1" ht="30" customHeight="1">
      <c r="A4" s="258" t="s">
        <v>206</v>
      </c>
      <c r="B4" s="258"/>
      <c r="C4" s="259" t="s">
        <v>187</v>
      </c>
      <c r="D4" s="260">
        <v>217517</v>
      </c>
      <c r="E4" s="261" t="s">
        <v>181</v>
      </c>
      <c r="F4" s="260"/>
      <c r="G4" s="261"/>
      <c r="H4" s="260"/>
      <c r="I4" s="261"/>
      <c r="J4" s="260"/>
      <c r="K4" s="262"/>
      <c r="L4" s="263">
        <f t="shared" si="0"/>
        <v>217517</v>
      </c>
      <c r="M4" s="264"/>
      <c r="N4" s="258"/>
      <c r="O4" s="258"/>
      <c r="P4" s="258"/>
      <c r="Q4" s="258"/>
      <c r="R4" s="258"/>
      <c r="S4" s="258"/>
      <c r="T4" s="258"/>
      <c r="U4" s="258"/>
    </row>
    <row r="5" spans="1:21" s="265" customFormat="1" ht="30" customHeight="1">
      <c r="A5" s="258" t="s">
        <v>303</v>
      </c>
      <c r="B5" s="258"/>
      <c r="C5" s="259" t="s">
        <v>304</v>
      </c>
      <c r="D5" s="260">
        <v>229273</v>
      </c>
      <c r="E5" s="261" t="s">
        <v>181</v>
      </c>
      <c r="F5" s="260"/>
      <c r="G5" s="261"/>
      <c r="H5" s="260"/>
      <c r="I5" s="261"/>
      <c r="J5" s="260"/>
      <c r="K5" s="262"/>
      <c r="L5" s="263">
        <f>D5</f>
        <v>229273</v>
      </c>
      <c r="M5" s="264"/>
      <c r="N5" s="258"/>
      <c r="O5" s="258"/>
      <c r="P5" s="258"/>
      <c r="Q5" s="258"/>
      <c r="R5" s="258"/>
      <c r="S5" s="258"/>
      <c r="T5" s="258"/>
      <c r="U5" s="258"/>
    </row>
    <row r="6" spans="1:21" s="265" customFormat="1" ht="30" customHeight="1">
      <c r="A6" s="258" t="s">
        <v>436</v>
      </c>
      <c r="B6" s="258"/>
      <c r="C6" s="259" t="s">
        <v>187</v>
      </c>
      <c r="D6" s="260">
        <v>192426</v>
      </c>
      <c r="E6" s="261" t="s">
        <v>181</v>
      </c>
      <c r="F6" s="260"/>
      <c r="G6" s="261"/>
      <c r="H6" s="260"/>
      <c r="I6" s="261"/>
      <c r="J6" s="260"/>
      <c r="K6" s="262"/>
      <c r="L6" s="263">
        <f>D6</f>
        <v>192426</v>
      </c>
      <c r="M6" s="264"/>
      <c r="N6" s="258"/>
      <c r="O6" s="258"/>
      <c r="P6" s="258"/>
      <c r="Q6" s="258"/>
      <c r="R6" s="258"/>
      <c r="S6" s="258"/>
      <c r="T6" s="258"/>
      <c r="U6" s="258"/>
    </row>
    <row r="7" spans="1:21" s="265" customFormat="1" ht="30" customHeight="1">
      <c r="A7" s="258" t="s">
        <v>189</v>
      </c>
      <c r="B7" s="258"/>
      <c r="C7" s="259" t="s">
        <v>187</v>
      </c>
      <c r="D7" s="260">
        <v>148510</v>
      </c>
      <c r="E7" s="261" t="s">
        <v>181</v>
      </c>
      <c r="F7" s="260"/>
      <c r="G7" s="261"/>
      <c r="H7" s="260"/>
      <c r="I7" s="261"/>
      <c r="J7" s="260"/>
      <c r="K7" s="262"/>
      <c r="L7" s="263">
        <f t="shared" si="0"/>
        <v>148510</v>
      </c>
      <c r="M7" s="264"/>
      <c r="N7" s="258"/>
      <c r="O7" s="258"/>
      <c r="P7" s="258"/>
      <c r="Q7" s="258"/>
      <c r="R7" s="258"/>
      <c r="S7" s="258"/>
      <c r="T7" s="258"/>
      <c r="U7" s="258"/>
    </row>
    <row r="8" spans="1:21" s="265" customFormat="1" ht="30" customHeight="1">
      <c r="A8" s="258" t="s">
        <v>262</v>
      </c>
      <c r="B8" s="258"/>
      <c r="C8" s="259" t="s">
        <v>187</v>
      </c>
      <c r="D8" s="260">
        <v>262297</v>
      </c>
      <c r="E8" s="261" t="s">
        <v>181</v>
      </c>
      <c r="F8" s="260"/>
      <c r="G8" s="261"/>
      <c r="H8" s="260"/>
      <c r="I8" s="261"/>
      <c r="J8" s="260"/>
      <c r="K8" s="262"/>
      <c r="L8" s="263">
        <f t="shared" si="0"/>
        <v>262297</v>
      </c>
      <c r="M8" s="264"/>
      <c r="N8" s="258"/>
      <c r="O8" s="258"/>
      <c r="P8" s="258"/>
      <c r="Q8" s="258"/>
      <c r="R8" s="258"/>
      <c r="S8" s="258"/>
      <c r="T8" s="258"/>
      <c r="U8" s="258"/>
    </row>
    <row r="9" spans="1:21" s="265" customFormat="1" ht="30" customHeight="1">
      <c r="A9" s="258" t="s">
        <v>261</v>
      </c>
      <c r="B9" s="258"/>
      <c r="C9" s="259" t="s">
        <v>187</v>
      </c>
      <c r="D9" s="260">
        <v>209189</v>
      </c>
      <c r="E9" s="261" t="s">
        <v>181</v>
      </c>
      <c r="F9" s="260"/>
      <c r="G9" s="261"/>
      <c r="H9" s="260"/>
      <c r="I9" s="261"/>
      <c r="J9" s="260"/>
      <c r="K9" s="262"/>
      <c r="L9" s="263">
        <f t="shared" si="0"/>
        <v>209189</v>
      </c>
      <c r="M9" s="264"/>
      <c r="N9" s="258"/>
      <c r="O9" s="258"/>
      <c r="P9" s="258"/>
      <c r="Q9" s="258"/>
      <c r="R9" s="258"/>
      <c r="S9" s="258"/>
      <c r="T9" s="258"/>
      <c r="U9" s="258"/>
    </row>
    <row r="10" spans="1:21" s="265" customFormat="1" ht="30" customHeight="1">
      <c r="A10" s="258" t="s">
        <v>287</v>
      </c>
      <c r="B10" s="258"/>
      <c r="C10" s="259" t="s">
        <v>187</v>
      </c>
      <c r="D10" s="260">
        <v>224380</v>
      </c>
      <c r="E10" s="261" t="s">
        <v>181</v>
      </c>
      <c r="F10" s="260"/>
      <c r="G10" s="261"/>
      <c r="H10" s="260"/>
      <c r="I10" s="261"/>
      <c r="J10" s="260"/>
      <c r="K10" s="262"/>
      <c r="L10" s="263">
        <f t="shared" si="0"/>
        <v>224380</v>
      </c>
      <c r="M10" s="264"/>
      <c r="N10" s="258"/>
      <c r="O10" s="258"/>
      <c r="P10" s="258"/>
      <c r="Q10" s="258"/>
      <c r="R10" s="258"/>
      <c r="S10" s="258"/>
      <c r="T10" s="258"/>
      <c r="U10" s="258"/>
    </row>
    <row r="11" spans="1:21" s="265" customFormat="1" ht="30" customHeight="1">
      <c r="A11" s="258" t="s">
        <v>263</v>
      </c>
      <c r="B11" s="258"/>
      <c r="C11" s="259" t="s">
        <v>187</v>
      </c>
      <c r="D11" s="260">
        <v>234564</v>
      </c>
      <c r="E11" s="261" t="s">
        <v>181</v>
      </c>
      <c r="F11" s="260"/>
      <c r="G11" s="261"/>
      <c r="H11" s="260"/>
      <c r="I11" s="261"/>
      <c r="J11" s="260"/>
      <c r="K11" s="262"/>
      <c r="L11" s="263">
        <f t="shared" si="0"/>
        <v>234564</v>
      </c>
      <c r="M11" s="264"/>
      <c r="N11" s="258"/>
      <c r="O11" s="258"/>
      <c r="P11" s="258"/>
      <c r="Q11" s="258"/>
      <c r="R11" s="258"/>
      <c r="S11" s="258"/>
      <c r="T11" s="258"/>
      <c r="U11" s="258"/>
    </row>
    <row r="12" spans="1:21" s="265" customFormat="1" ht="30" customHeight="1">
      <c r="A12" s="258" t="s">
        <v>289</v>
      </c>
      <c r="B12" s="258"/>
      <c r="C12" s="259" t="s">
        <v>180</v>
      </c>
      <c r="D12" s="260">
        <v>221409</v>
      </c>
      <c r="E12" s="261" t="s">
        <v>181</v>
      </c>
      <c r="F12" s="260"/>
      <c r="G12" s="261"/>
      <c r="H12" s="260"/>
      <c r="I12" s="261"/>
      <c r="J12" s="260"/>
      <c r="K12" s="262"/>
      <c r="L12" s="263">
        <f t="shared" si="0"/>
        <v>221409</v>
      </c>
      <c r="M12" s="264"/>
      <c r="N12" s="258"/>
      <c r="O12" s="258"/>
      <c r="P12" s="258"/>
      <c r="Q12" s="258"/>
      <c r="R12" s="258"/>
      <c r="S12" s="258"/>
      <c r="T12" s="258"/>
      <c r="U12" s="258"/>
    </row>
    <row r="13" spans="1:21" s="265" customFormat="1" ht="30" customHeight="1">
      <c r="A13" s="258" t="s">
        <v>223</v>
      </c>
      <c r="B13" s="258"/>
      <c r="C13" s="259" t="s">
        <v>187</v>
      </c>
      <c r="D13" s="260">
        <v>176807</v>
      </c>
      <c r="E13" s="261" t="s">
        <v>181</v>
      </c>
      <c r="F13" s="260"/>
      <c r="G13" s="261"/>
      <c r="H13" s="260"/>
      <c r="I13" s="261"/>
      <c r="J13" s="260"/>
      <c r="K13" s="262"/>
      <c r="L13" s="263">
        <f t="shared" si="0"/>
        <v>176807</v>
      </c>
      <c r="M13" s="264"/>
      <c r="N13" s="258"/>
      <c r="O13" s="258"/>
      <c r="P13" s="258"/>
      <c r="Q13" s="258"/>
      <c r="R13" s="258"/>
      <c r="S13" s="258"/>
      <c r="T13" s="258"/>
      <c r="U13" s="258"/>
    </row>
    <row r="14" spans="1:21" s="265" customFormat="1" ht="30" customHeight="1">
      <c r="A14" s="258" t="s">
        <v>221</v>
      </c>
      <c r="B14" s="258"/>
      <c r="C14" s="259" t="s">
        <v>187</v>
      </c>
      <c r="D14" s="260">
        <v>247079</v>
      </c>
      <c r="E14" s="261" t="s">
        <v>181</v>
      </c>
      <c r="F14" s="260"/>
      <c r="G14" s="261"/>
      <c r="H14" s="260"/>
      <c r="I14" s="261"/>
      <c r="J14" s="260"/>
      <c r="K14" s="262"/>
      <c r="L14" s="263">
        <f t="shared" si="0"/>
        <v>247079</v>
      </c>
      <c r="M14" s="264"/>
      <c r="N14" s="258"/>
      <c r="O14" s="258"/>
      <c r="P14" s="258"/>
      <c r="Q14" s="258"/>
      <c r="R14" s="258"/>
      <c r="S14" s="258"/>
      <c r="T14" s="258"/>
      <c r="U14" s="258"/>
    </row>
    <row r="15" spans="1:21" s="265" customFormat="1" ht="30" customHeight="1">
      <c r="A15" s="258" t="s">
        <v>264</v>
      </c>
      <c r="B15" s="258"/>
      <c r="C15" s="259" t="s">
        <v>187</v>
      </c>
      <c r="D15" s="260">
        <v>187435</v>
      </c>
      <c r="E15" s="261" t="s">
        <v>181</v>
      </c>
      <c r="F15" s="260"/>
      <c r="G15" s="261"/>
      <c r="H15" s="260"/>
      <c r="I15" s="261"/>
      <c r="J15" s="260"/>
      <c r="K15" s="262"/>
      <c r="L15" s="263">
        <f t="shared" si="0"/>
        <v>187435</v>
      </c>
      <c r="M15" s="264"/>
      <c r="N15" s="258"/>
      <c r="O15" s="258"/>
      <c r="P15" s="258"/>
      <c r="Q15" s="258"/>
      <c r="R15" s="258"/>
      <c r="S15" s="258"/>
      <c r="T15" s="258"/>
      <c r="U15" s="258"/>
    </row>
    <row r="16" spans="1:21" s="265" customFormat="1" ht="30" customHeight="1">
      <c r="A16" s="258" t="s">
        <v>453</v>
      </c>
      <c r="B16" s="258"/>
      <c r="C16" s="259" t="s">
        <v>187</v>
      </c>
      <c r="D16" s="260">
        <v>184209</v>
      </c>
      <c r="E16" s="261" t="s">
        <v>181</v>
      </c>
      <c r="F16" s="260"/>
      <c r="G16" s="261"/>
      <c r="H16" s="260"/>
      <c r="I16" s="261"/>
      <c r="J16" s="260"/>
      <c r="K16" s="262"/>
      <c r="L16" s="263">
        <f t="shared" si="0"/>
        <v>184209</v>
      </c>
      <c r="M16" s="264"/>
      <c r="N16" s="258"/>
      <c r="O16" s="258"/>
      <c r="P16" s="258"/>
      <c r="Q16" s="258"/>
      <c r="R16" s="258"/>
      <c r="S16" s="258"/>
      <c r="T16" s="258"/>
      <c r="U16" s="258"/>
    </row>
    <row r="17" spans="1:21" s="265" customFormat="1" ht="30" customHeight="1">
      <c r="A17" s="258" t="s">
        <v>398</v>
      </c>
      <c r="B17" s="258"/>
      <c r="C17" s="259" t="s">
        <v>399</v>
      </c>
      <c r="D17" s="260">
        <v>246868</v>
      </c>
      <c r="E17" s="261" t="s">
        <v>181</v>
      </c>
      <c r="F17" s="260"/>
      <c r="G17" s="261"/>
      <c r="H17" s="260"/>
      <c r="I17" s="261"/>
      <c r="J17" s="260"/>
      <c r="K17" s="262"/>
      <c r="L17" s="263">
        <f t="shared" si="0"/>
        <v>246868</v>
      </c>
      <c r="M17" s="264"/>
      <c r="N17" s="258"/>
      <c r="O17" s="258"/>
      <c r="P17" s="258"/>
      <c r="Q17" s="258"/>
      <c r="R17" s="258"/>
      <c r="S17" s="258"/>
      <c r="T17" s="258"/>
      <c r="U17" s="258"/>
    </row>
    <row r="18" spans="1:21" s="265" customFormat="1" ht="30" customHeight="1">
      <c r="A18" s="258" t="s">
        <v>605</v>
      </c>
      <c r="B18" s="258"/>
      <c r="C18" s="259" t="s">
        <v>604</v>
      </c>
      <c r="D18" s="260">
        <v>196165</v>
      </c>
      <c r="E18" s="261" t="s">
        <v>181</v>
      </c>
      <c r="F18" s="260"/>
      <c r="G18" s="261"/>
      <c r="H18" s="260"/>
      <c r="I18" s="261"/>
      <c r="J18" s="260"/>
      <c r="K18" s="262"/>
      <c r="L18" s="263">
        <f t="shared" si="0"/>
        <v>196165</v>
      </c>
      <c r="M18" s="264"/>
      <c r="N18" s="258"/>
      <c r="O18" s="258"/>
      <c r="P18" s="258"/>
      <c r="Q18" s="258"/>
      <c r="R18" s="258"/>
      <c r="S18" s="258"/>
      <c r="T18" s="258"/>
      <c r="U18" s="258"/>
    </row>
    <row r="19" spans="1:21" s="265" customFormat="1" ht="30" customHeight="1">
      <c r="A19" s="258" t="s">
        <v>728</v>
      </c>
      <c r="B19" s="258"/>
      <c r="C19" s="259" t="s">
        <v>729</v>
      </c>
      <c r="D19" s="260">
        <v>188856</v>
      </c>
      <c r="E19" s="261" t="s">
        <v>181</v>
      </c>
      <c r="F19" s="260"/>
      <c r="G19" s="261"/>
      <c r="H19" s="260"/>
      <c r="I19" s="261"/>
      <c r="J19" s="260"/>
      <c r="K19" s="262"/>
      <c r="L19" s="263">
        <f t="shared" si="0"/>
        <v>188856</v>
      </c>
      <c r="M19" s="264"/>
      <c r="N19" s="258"/>
      <c r="O19" s="258"/>
      <c r="P19" s="258"/>
      <c r="Q19" s="258"/>
      <c r="R19" s="258"/>
      <c r="S19" s="258"/>
      <c r="T19" s="258"/>
      <c r="U19" s="258"/>
    </row>
    <row r="20" spans="1:21" s="265" customFormat="1" ht="30" customHeight="1">
      <c r="A20" s="258"/>
      <c r="B20" s="258"/>
      <c r="C20" s="259"/>
      <c r="D20" s="260"/>
      <c r="E20" s="261"/>
      <c r="F20" s="260"/>
      <c r="G20" s="261"/>
      <c r="H20" s="260"/>
      <c r="I20" s="261"/>
      <c r="J20" s="260"/>
      <c r="K20" s="262"/>
      <c r="L20" s="263"/>
      <c r="M20" s="264"/>
      <c r="N20" s="258"/>
      <c r="O20" s="258"/>
      <c r="P20" s="258"/>
      <c r="Q20" s="258"/>
      <c r="R20" s="258"/>
      <c r="S20" s="258"/>
      <c r="T20" s="258"/>
      <c r="U20" s="258"/>
    </row>
    <row r="21" spans="1:21" s="265" customFormat="1" ht="30" customHeight="1">
      <c r="A21" s="258" t="s">
        <v>586</v>
      </c>
      <c r="B21" s="258" t="s">
        <v>587</v>
      </c>
      <c r="C21" s="259" t="s">
        <v>177</v>
      </c>
      <c r="D21" s="260">
        <v>7620</v>
      </c>
      <c r="E21" s="261" t="s">
        <v>589</v>
      </c>
      <c r="F21" s="260"/>
      <c r="G21" s="261"/>
      <c r="H21" s="260"/>
      <c r="I21" s="261"/>
      <c r="J21" s="260"/>
      <c r="K21" s="262"/>
      <c r="L21" s="263">
        <f>D21</f>
        <v>7620</v>
      </c>
      <c r="M21" s="264"/>
      <c r="N21" s="258"/>
      <c r="O21" s="258"/>
      <c r="P21" s="258"/>
      <c r="Q21" s="258"/>
      <c r="R21" s="258"/>
      <c r="S21" s="258"/>
      <c r="T21" s="258"/>
      <c r="U21" s="258"/>
    </row>
    <row r="22" spans="1:21" s="265" customFormat="1" ht="30" customHeight="1">
      <c r="A22" s="258" t="s">
        <v>327</v>
      </c>
      <c r="B22" s="258" t="s">
        <v>328</v>
      </c>
      <c r="C22" s="259" t="s">
        <v>290</v>
      </c>
      <c r="D22" s="260">
        <v>32000</v>
      </c>
      <c r="E22" s="261" t="s">
        <v>341</v>
      </c>
      <c r="F22" s="260">
        <v>33400</v>
      </c>
      <c r="G22" s="261" t="s">
        <v>342</v>
      </c>
      <c r="H22" s="260">
        <v>33400</v>
      </c>
      <c r="I22" s="261">
        <v>473</v>
      </c>
      <c r="J22" s="260"/>
      <c r="K22" s="262"/>
      <c r="L22" s="263">
        <f>D22</f>
        <v>32000</v>
      </c>
      <c r="M22" s="264"/>
      <c r="N22" s="258"/>
      <c r="O22" s="258"/>
      <c r="P22" s="258"/>
      <c r="Q22" s="258"/>
      <c r="R22" s="258"/>
      <c r="S22" s="258"/>
      <c r="T22" s="258"/>
      <c r="U22" s="258"/>
    </row>
    <row r="23" spans="1:21" s="265" customFormat="1" ht="30" customHeight="1">
      <c r="A23" s="258" t="s">
        <v>387</v>
      </c>
      <c r="B23" s="258" t="s">
        <v>388</v>
      </c>
      <c r="C23" s="259" t="s">
        <v>22</v>
      </c>
      <c r="D23" s="260">
        <v>3120</v>
      </c>
      <c r="E23" s="261" t="s">
        <v>389</v>
      </c>
      <c r="F23" s="260">
        <v>3276</v>
      </c>
      <c r="G23" s="261" t="s">
        <v>390</v>
      </c>
      <c r="H23" s="260">
        <v>3120</v>
      </c>
      <c r="I23" s="261">
        <v>401</v>
      </c>
      <c r="J23" s="260"/>
      <c r="K23" s="262"/>
      <c r="L23" s="263">
        <f>D23</f>
        <v>3120</v>
      </c>
      <c r="M23" s="264"/>
      <c r="N23" s="258"/>
      <c r="O23" s="258"/>
      <c r="P23" s="258"/>
      <c r="Q23" s="258"/>
      <c r="R23" s="258"/>
      <c r="S23" s="258"/>
      <c r="T23" s="258"/>
      <c r="U23" s="258"/>
    </row>
    <row r="24" spans="1:21" s="265" customFormat="1" ht="30" customHeight="1">
      <c r="A24" s="258" t="s">
        <v>371</v>
      </c>
      <c r="B24" s="258" t="s">
        <v>372</v>
      </c>
      <c r="C24" s="259" t="s">
        <v>370</v>
      </c>
      <c r="D24" s="260">
        <v>2300</v>
      </c>
      <c r="E24" s="261" t="s">
        <v>373</v>
      </c>
      <c r="F24" s="260"/>
      <c r="G24" s="261"/>
      <c r="H24" s="260"/>
      <c r="I24" s="261"/>
      <c r="J24" s="260"/>
      <c r="K24" s="262"/>
      <c r="L24" s="263">
        <f>D24</f>
        <v>2300</v>
      </c>
      <c r="M24" s="264"/>
      <c r="N24" s="258"/>
      <c r="O24" s="258"/>
      <c r="P24" s="258"/>
      <c r="Q24" s="258"/>
      <c r="R24" s="258"/>
      <c r="S24" s="258"/>
      <c r="T24" s="258"/>
      <c r="U24" s="258"/>
    </row>
    <row r="25" spans="1:21" s="265" customFormat="1" ht="30" customHeight="1">
      <c r="A25" s="258" t="s">
        <v>285</v>
      </c>
      <c r="B25" s="258"/>
      <c r="C25" s="259" t="s">
        <v>227</v>
      </c>
      <c r="D25" s="260"/>
      <c r="E25" s="261"/>
      <c r="F25" s="260"/>
      <c r="G25" s="261"/>
      <c r="H25" s="260"/>
      <c r="I25" s="261"/>
      <c r="J25" s="260">
        <v>10</v>
      </c>
      <c r="K25" s="262" t="s">
        <v>207</v>
      </c>
      <c r="L25" s="263">
        <f>J25</f>
        <v>10</v>
      </c>
      <c r="M25" s="264"/>
      <c r="N25" s="258"/>
      <c r="O25" s="258"/>
      <c r="P25" s="258"/>
      <c r="Q25" s="258"/>
      <c r="R25" s="258"/>
      <c r="S25" s="258"/>
      <c r="T25" s="258"/>
      <c r="U25" s="258"/>
    </row>
    <row r="26" spans="1:21" s="265" customFormat="1" ht="30" customHeight="1">
      <c r="A26" s="258" t="s">
        <v>748</v>
      </c>
      <c r="B26" s="258" t="s">
        <v>749</v>
      </c>
      <c r="C26" s="259"/>
      <c r="D26" s="260"/>
      <c r="E26" s="261"/>
      <c r="F26" s="260"/>
      <c r="G26" s="261"/>
      <c r="H26" s="260"/>
      <c r="I26" s="261"/>
      <c r="J26" s="260">
        <v>24000</v>
      </c>
      <c r="K26" s="262" t="s">
        <v>750</v>
      </c>
      <c r="L26" s="263">
        <f>J26</f>
        <v>24000</v>
      </c>
      <c r="M26" s="264"/>
      <c r="N26" s="258"/>
      <c r="O26" s="258"/>
      <c r="P26" s="258"/>
      <c r="Q26" s="258"/>
      <c r="R26" s="258"/>
      <c r="S26" s="258"/>
      <c r="T26" s="258"/>
      <c r="U26" s="258"/>
    </row>
    <row r="27" spans="1:21" s="265" customFormat="1" ht="30" customHeight="1">
      <c r="A27" s="258" t="s">
        <v>228</v>
      </c>
      <c r="B27" s="258" t="s">
        <v>343</v>
      </c>
      <c r="C27" s="259" t="s">
        <v>227</v>
      </c>
      <c r="D27" s="260">
        <v>1017</v>
      </c>
      <c r="E27" s="261" t="s">
        <v>231</v>
      </c>
      <c r="F27" s="260"/>
      <c r="G27" s="261"/>
      <c r="H27" s="260"/>
      <c r="I27" s="261"/>
      <c r="J27" s="260"/>
      <c r="K27" s="262"/>
      <c r="L27" s="263">
        <f>D27</f>
        <v>1017</v>
      </c>
      <c r="M27" s="264"/>
      <c r="N27" s="258"/>
      <c r="O27" s="258"/>
      <c r="P27" s="258"/>
      <c r="Q27" s="258"/>
      <c r="R27" s="258"/>
      <c r="S27" s="258"/>
      <c r="T27" s="258"/>
      <c r="U27" s="258"/>
    </row>
    <row r="28" spans="1:21" s="265" customFormat="1" ht="30" customHeight="1">
      <c r="A28" s="258" t="s">
        <v>532</v>
      </c>
      <c r="B28" s="258" t="s">
        <v>535</v>
      </c>
      <c r="C28" s="259" t="s">
        <v>533</v>
      </c>
      <c r="D28" s="260">
        <v>4680</v>
      </c>
      <c r="E28" s="261" t="s">
        <v>536</v>
      </c>
      <c r="F28" s="260"/>
      <c r="G28" s="261"/>
      <c r="H28" s="260"/>
      <c r="I28" s="261"/>
      <c r="J28" s="260"/>
      <c r="K28" s="262"/>
      <c r="L28" s="263">
        <f>D28</f>
        <v>4680</v>
      </c>
      <c r="M28" s="264"/>
      <c r="N28" s="258"/>
      <c r="O28" s="258"/>
      <c r="P28" s="258"/>
      <c r="Q28" s="258"/>
      <c r="R28" s="258"/>
      <c r="S28" s="258"/>
      <c r="T28" s="258"/>
      <c r="U28" s="258"/>
    </row>
    <row r="29" spans="1:21" s="265" customFormat="1" ht="30" customHeight="1">
      <c r="A29" s="258" t="s">
        <v>281</v>
      </c>
      <c r="B29" s="258" t="s">
        <v>282</v>
      </c>
      <c r="C29" s="259" t="s">
        <v>267</v>
      </c>
      <c r="D29" s="260">
        <v>3230</v>
      </c>
      <c r="E29" s="261" t="s">
        <v>344</v>
      </c>
      <c r="F29" s="260">
        <v>3500</v>
      </c>
      <c r="G29" s="261" t="s">
        <v>345</v>
      </c>
      <c r="H29" s="260">
        <v>3230</v>
      </c>
      <c r="I29" s="261">
        <v>430</v>
      </c>
      <c r="J29" s="260"/>
      <c r="K29" s="262"/>
      <c r="L29" s="263">
        <f>D29</f>
        <v>3230</v>
      </c>
      <c r="M29" s="264"/>
      <c r="N29" s="258"/>
      <c r="O29" s="258"/>
      <c r="P29" s="258"/>
      <c r="Q29" s="258"/>
      <c r="R29" s="258"/>
      <c r="S29" s="258"/>
      <c r="T29" s="258"/>
      <c r="U29" s="258"/>
    </row>
    <row r="30" spans="1:21" s="265" customFormat="1" ht="30" customHeight="1">
      <c r="A30" s="258" t="s">
        <v>283</v>
      </c>
      <c r="B30" s="258" t="s">
        <v>284</v>
      </c>
      <c r="C30" s="259" t="s">
        <v>280</v>
      </c>
      <c r="D30" s="260">
        <v>2680</v>
      </c>
      <c r="E30" s="261" t="s">
        <v>344</v>
      </c>
      <c r="F30" s="260">
        <v>2200</v>
      </c>
      <c r="G30" s="261" t="s">
        <v>345</v>
      </c>
      <c r="H30" s="260">
        <v>4980</v>
      </c>
      <c r="I30" s="261">
        <v>430</v>
      </c>
      <c r="J30" s="260"/>
      <c r="K30" s="262"/>
      <c r="L30" s="263">
        <f>F30</f>
        <v>2200</v>
      </c>
      <c r="M30" s="264"/>
      <c r="N30" s="258"/>
      <c r="O30" s="258"/>
      <c r="P30" s="258"/>
      <c r="Q30" s="258"/>
      <c r="R30" s="258"/>
      <c r="S30" s="258"/>
      <c r="T30" s="258"/>
      <c r="U30" s="258"/>
    </row>
    <row r="31" spans="1:21" s="265" customFormat="1" ht="30" customHeight="1">
      <c r="A31" s="258" t="s">
        <v>580</v>
      </c>
      <c r="B31" s="258"/>
      <c r="C31" s="259" t="s">
        <v>581</v>
      </c>
      <c r="D31" s="260">
        <v>35000</v>
      </c>
      <c r="E31" s="261" t="s">
        <v>582</v>
      </c>
      <c r="F31" s="260"/>
      <c r="G31" s="261"/>
      <c r="H31" s="260"/>
      <c r="I31" s="261"/>
      <c r="J31" s="260"/>
      <c r="K31" s="262"/>
      <c r="L31" s="263">
        <f>D31</f>
        <v>35000</v>
      </c>
      <c r="M31" s="264"/>
      <c r="N31" s="258"/>
      <c r="O31" s="258"/>
      <c r="P31" s="258"/>
      <c r="Q31" s="258"/>
      <c r="R31" s="258"/>
      <c r="S31" s="258"/>
      <c r="T31" s="258"/>
      <c r="U31" s="258"/>
    </row>
    <row r="32" spans="1:21" s="265" customFormat="1" ht="30" customHeight="1">
      <c r="A32" s="286" t="s">
        <v>378</v>
      </c>
      <c r="B32" s="286" t="s">
        <v>379</v>
      </c>
      <c r="C32" s="259" t="s">
        <v>375</v>
      </c>
      <c r="D32" s="260">
        <v>2100</v>
      </c>
      <c r="E32" s="261" t="s">
        <v>506</v>
      </c>
      <c r="F32" s="260">
        <v>2790</v>
      </c>
      <c r="G32" s="261" t="s">
        <v>380</v>
      </c>
      <c r="H32" s="260">
        <v>2100</v>
      </c>
      <c r="I32" s="261">
        <v>73</v>
      </c>
      <c r="J32" s="260"/>
      <c r="K32" s="262"/>
      <c r="L32" s="263">
        <f>D32</f>
        <v>2100</v>
      </c>
      <c r="M32" s="264"/>
      <c r="N32" s="258"/>
      <c r="O32" s="258"/>
      <c r="P32" s="258"/>
      <c r="Q32" s="258"/>
      <c r="R32" s="258"/>
      <c r="S32" s="258"/>
      <c r="T32" s="258"/>
      <c r="U32" s="258"/>
    </row>
    <row r="33" spans="1:21" s="265" customFormat="1" ht="30" customHeight="1">
      <c r="A33" s="286" t="s">
        <v>378</v>
      </c>
      <c r="B33" s="286" t="s">
        <v>520</v>
      </c>
      <c r="C33" s="259" t="s">
        <v>375</v>
      </c>
      <c r="D33" s="260">
        <v>6300</v>
      </c>
      <c r="E33" s="261" t="s">
        <v>506</v>
      </c>
      <c r="F33" s="260">
        <v>2790</v>
      </c>
      <c r="G33" s="261" t="s">
        <v>380</v>
      </c>
      <c r="H33" s="260">
        <v>2100</v>
      </c>
      <c r="I33" s="261">
        <v>73</v>
      </c>
      <c r="J33" s="260"/>
      <c r="K33" s="262"/>
      <c r="L33" s="263">
        <f>D33</f>
        <v>6300</v>
      </c>
      <c r="M33" s="264"/>
      <c r="N33" s="258"/>
      <c r="O33" s="258"/>
      <c r="P33" s="258"/>
      <c r="Q33" s="258"/>
      <c r="R33" s="258"/>
      <c r="S33" s="258"/>
      <c r="T33" s="258"/>
      <c r="U33" s="258"/>
    </row>
    <row r="34" spans="1:21" s="265" customFormat="1" ht="30" customHeight="1">
      <c r="A34" s="258" t="s">
        <v>411</v>
      </c>
      <c r="B34" s="258" t="s">
        <v>412</v>
      </c>
      <c r="C34" s="259" t="s">
        <v>186</v>
      </c>
      <c r="D34" s="260">
        <f>11000/40</f>
        <v>275</v>
      </c>
      <c r="E34" s="261" t="s">
        <v>413</v>
      </c>
      <c r="F34" s="260">
        <f>11600/40</f>
        <v>290</v>
      </c>
      <c r="G34" s="261" t="s">
        <v>414</v>
      </c>
      <c r="H34" s="260">
        <f>11480/40</f>
        <v>287</v>
      </c>
      <c r="I34" s="261">
        <v>64</v>
      </c>
      <c r="J34" s="260"/>
      <c r="K34" s="262"/>
      <c r="L34" s="263">
        <f>D34</f>
        <v>275</v>
      </c>
      <c r="M34" s="264"/>
      <c r="N34" s="258"/>
      <c r="O34" s="258"/>
      <c r="P34" s="258"/>
      <c r="Q34" s="258"/>
      <c r="R34" s="258"/>
      <c r="S34" s="258"/>
      <c r="T34" s="258"/>
      <c r="U34" s="258"/>
    </row>
    <row r="35" spans="1:21" s="265" customFormat="1" ht="30" customHeight="1">
      <c r="A35" s="258" t="s">
        <v>295</v>
      </c>
      <c r="B35" s="290" t="s">
        <v>347</v>
      </c>
      <c r="C35" s="259" t="s">
        <v>258</v>
      </c>
      <c r="D35" s="260">
        <f>84300/18</f>
        <v>4683.333333333333</v>
      </c>
      <c r="E35" s="261" t="s">
        <v>310</v>
      </c>
      <c r="F35" s="260">
        <f>85400/18</f>
        <v>4744.4444444444443</v>
      </c>
      <c r="G35" s="261" t="s">
        <v>346</v>
      </c>
      <c r="H35" s="260">
        <f>84300/18</f>
        <v>4683.333333333333</v>
      </c>
      <c r="I35" s="261">
        <v>476</v>
      </c>
      <c r="J35" s="260"/>
      <c r="K35" s="262"/>
      <c r="L35" s="263">
        <f>D35</f>
        <v>4683.333333333333</v>
      </c>
      <c r="M35" s="264"/>
      <c r="N35" s="258"/>
      <c r="O35" s="258"/>
      <c r="P35" s="258"/>
      <c r="Q35" s="258"/>
      <c r="R35" s="258"/>
      <c r="S35" s="258"/>
      <c r="T35" s="258"/>
      <c r="U35" s="258"/>
    </row>
    <row r="36" spans="1:21" s="265" customFormat="1" ht="30" customHeight="1">
      <c r="A36" s="258" t="s">
        <v>192</v>
      </c>
      <c r="B36" s="258" t="s">
        <v>326</v>
      </c>
      <c r="C36" s="259" t="s">
        <v>191</v>
      </c>
      <c r="D36" s="260"/>
      <c r="E36" s="261"/>
      <c r="F36" s="260"/>
      <c r="G36" s="261"/>
      <c r="H36" s="260"/>
      <c r="I36" s="261"/>
      <c r="J36" s="260">
        <f>1760/(0.9*1.8)</f>
        <v>1086.4197530864196</v>
      </c>
      <c r="K36" s="262" t="s">
        <v>207</v>
      </c>
      <c r="L36" s="263">
        <f>J36</f>
        <v>1086.4197530864196</v>
      </c>
      <c r="M36" s="264"/>
      <c r="N36" s="258"/>
      <c r="O36" s="258"/>
      <c r="P36" s="258"/>
      <c r="Q36" s="258"/>
      <c r="R36" s="258"/>
      <c r="S36" s="258"/>
      <c r="T36" s="258"/>
      <c r="U36" s="258"/>
    </row>
    <row r="37" spans="1:21" s="265" customFormat="1" ht="30" customHeight="1">
      <c r="A37" s="258" t="s">
        <v>183</v>
      </c>
      <c r="B37" s="258" t="s">
        <v>193</v>
      </c>
      <c r="C37" s="259" t="s">
        <v>191</v>
      </c>
      <c r="D37" s="260"/>
      <c r="E37" s="261"/>
      <c r="F37" s="260"/>
      <c r="G37" s="261"/>
      <c r="H37" s="260"/>
      <c r="I37" s="261"/>
      <c r="J37" s="260">
        <f>38000/(1.8*100)</f>
        <v>211.11111111111111</v>
      </c>
      <c r="K37" s="262" t="s">
        <v>207</v>
      </c>
      <c r="L37" s="263">
        <f>J37</f>
        <v>211.11111111111111</v>
      </c>
      <c r="M37" s="264"/>
      <c r="N37" s="258"/>
      <c r="O37" s="258"/>
      <c r="P37" s="258"/>
      <c r="Q37" s="258"/>
      <c r="R37" s="258"/>
      <c r="S37" s="258"/>
      <c r="T37" s="258"/>
      <c r="U37" s="258"/>
    </row>
    <row r="38" spans="1:21" s="265" customFormat="1" ht="30" customHeight="1">
      <c r="A38" s="258" t="s">
        <v>194</v>
      </c>
      <c r="B38" s="258"/>
      <c r="C38" s="259" t="s">
        <v>195</v>
      </c>
      <c r="D38" s="260"/>
      <c r="E38" s="261"/>
      <c r="F38" s="260"/>
      <c r="G38" s="261"/>
      <c r="H38" s="260"/>
      <c r="I38" s="261"/>
      <c r="J38" s="260">
        <f>3410/(25)</f>
        <v>136.4</v>
      </c>
      <c r="K38" s="262" t="s">
        <v>207</v>
      </c>
      <c r="L38" s="263">
        <f>J38</f>
        <v>136.4</v>
      </c>
      <c r="M38" s="264"/>
      <c r="N38" s="258"/>
      <c r="O38" s="258"/>
      <c r="P38" s="258"/>
      <c r="Q38" s="258"/>
      <c r="R38" s="258"/>
      <c r="S38" s="258"/>
      <c r="T38" s="258"/>
      <c r="U38" s="258"/>
    </row>
    <row r="39" spans="1:21" s="265" customFormat="1" ht="30" customHeight="1">
      <c r="A39" s="258" t="s">
        <v>202</v>
      </c>
      <c r="B39" s="258" t="s">
        <v>204</v>
      </c>
      <c r="C39" s="259" t="s">
        <v>203</v>
      </c>
      <c r="D39" s="260">
        <f>26700</f>
        <v>26700</v>
      </c>
      <c r="E39" s="261" t="s">
        <v>325</v>
      </c>
      <c r="F39" s="260">
        <v>33000</v>
      </c>
      <c r="G39" s="261" t="s">
        <v>348</v>
      </c>
      <c r="H39" s="260"/>
      <c r="I39" s="261"/>
      <c r="J39" s="260"/>
      <c r="K39" s="262"/>
      <c r="L39" s="263">
        <f>D39</f>
        <v>26700</v>
      </c>
      <c r="M39" s="264"/>
      <c r="N39" s="258"/>
      <c r="O39" s="258"/>
      <c r="P39" s="258"/>
      <c r="Q39" s="258"/>
      <c r="R39" s="258"/>
      <c r="S39" s="258"/>
      <c r="T39" s="258"/>
      <c r="U39" s="258"/>
    </row>
    <row r="40" spans="1:21" s="265" customFormat="1" ht="30" customHeight="1">
      <c r="A40" s="258" t="s">
        <v>209</v>
      </c>
      <c r="B40" s="258" t="s">
        <v>214</v>
      </c>
      <c r="C40" s="259" t="s">
        <v>186</v>
      </c>
      <c r="D40" s="260"/>
      <c r="E40" s="261"/>
      <c r="F40" s="260"/>
      <c r="G40" s="261"/>
      <c r="H40" s="260"/>
      <c r="I40" s="261"/>
      <c r="J40" s="260">
        <f>2800/0.8</f>
        <v>3500</v>
      </c>
      <c r="K40" s="262" t="s">
        <v>207</v>
      </c>
      <c r="L40" s="263">
        <f t="shared" ref="L40:L42" si="1">J40</f>
        <v>3500</v>
      </c>
      <c r="M40" s="264"/>
      <c r="N40" s="258"/>
      <c r="O40" s="258"/>
      <c r="P40" s="258"/>
      <c r="Q40" s="258"/>
      <c r="R40" s="258"/>
      <c r="S40" s="258"/>
      <c r="T40" s="258"/>
      <c r="U40" s="258"/>
    </row>
    <row r="41" spans="1:21" s="265" customFormat="1" ht="30" customHeight="1">
      <c r="A41" s="258" t="s">
        <v>441</v>
      </c>
      <c r="B41" s="258" t="s">
        <v>442</v>
      </c>
      <c r="C41" s="259" t="s">
        <v>186</v>
      </c>
      <c r="D41" s="260"/>
      <c r="E41" s="261"/>
      <c r="F41" s="260"/>
      <c r="G41" s="261"/>
      <c r="H41" s="260"/>
      <c r="I41" s="261"/>
      <c r="J41" s="260">
        <f>30000/10</f>
        <v>3000</v>
      </c>
      <c r="K41" s="262" t="s">
        <v>207</v>
      </c>
      <c r="L41" s="263">
        <f>J41</f>
        <v>3000</v>
      </c>
      <c r="M41" s="264"/>
      <c r="N41" s="258"/>
      <c r="O41" s="258"/>
      <c r="P41" s="258"/>
      <c r="Q41" s="258"/>
      <c r="R41" s="258"/>
      <c r="S41" s="258"/>
      <c r="T41" s="258"/>
      <c r="U41" s="258"/>
    </row>
    <row r="42" spans="1:21" s="265" customFormat="1" ht="30" customHeight="1">
      <c r="A42" s="258" t="s">
        <v>233</v>
      </c>
      <c r="B42" s="258" t="s">
        <v>234</v>
      </c>
      <c r="C42" s="259" t="s">
        <v>235</v>
      </c>
      <c r="D42" s="260"/>
      <c r="E42" s="261"/>
      <c r="F42" s="260"/>
      <c r="G42" s="261"/>
      <c r="H42" s="260"/>
      <c r="I42" s="261"/>
      <c r="J42" s="260">
        <f>120+20</f>
        <v>140</v>
      </c>
      <c r="K42" s="262" t="s">
        <v>238</v>
      </c>
      <c r="L42" s="263">
        <f t="shared" si="1"/>
        <v>140</v>
      </c>
      <c r="M42" s="264"/>
      <c r="N42" s="258"/>
      <c r="O42" s="258"/>
      <c r="P42" s="258"/>
      <c r="Q42" s="258"/>
      <c r="R42" s="258"/>
      <c r="S42" s="258"/>
      <c r="T42" s="258"/>
      <c r="U42" s="258"/>
    </row>
    <row r="43" spans="1:21" s="277" customFormat="1" ht="30" customHeight="1">
      <c r="A43" s="258" t="s">
        <v>305</v>
      </c>
      <c r="B43" s="258" t="s">
        <v>306</v>
      </c>
      <c r="C43" s="266" t="s">
        <v>186</v>
      </c>
      <c r="D43" s="260">
        <f>18200/18</f>
        <v>1011.1111111111111</v>
      </c>
      <c r="E43" s="261" t="s">
        <v>349</v>
      </c>
      <c r="F43" s="267">
        <f>17700/18</f>
        <v>983.33333333333337</v>
      </c>
      <c r="G43" s="268" t="s">
        <v>350</v>
      </c>
      <c r="H43" s="267">
        <f>17700/18</f>
        <v>983.33333333333337</v>
      </c>
      <c r="I43" s="269">
        <v>478</v>
      </c>
      <c r="J43" s="270"/>
      <c r="K43" s="271"/>
      <c r="L43" s="272">
        <f>F43</f>
        <v>983.33333333333337</v>
      </c>
      <c r="M43" s="273"/>
      <c r="N43" s="274"/>
      <c r="O43" s="274"/>
      <c r="P43" s="275"/>
      <c r="Q43" s="275"/>
      <c r="R43" s="275"/>
      <c r="S43" s="275"/>
      <c r="T43" s="276"/>
      <c r="U43" s="276"/>
    </row>
    <row r="44" spans="1:21" s="265" customFormat="1" ht="30" customHeight="1">
      <c r="A44" s="258" t="s">
        <v>211</v>
      </c>
      <c r="B44" s="258" t="s">
        <v>212</v>
      </c>
      <c r="C44" s="259" t="s">
        <v>176</v>
      </c>
      <c r="D44" s="260">
        <f>3900/1.62</f>
        <v>2407.4074074074074</v>
      </c>
      <c r="E44" s="261" t="s">
        <v>351</v>
      </c>
      <c r="F44" s="260">
        <f>4500/1.62</f>
        <v>2777.7777777777774</v>
      </c>
      <c r="G44" s="261" t="s">
        <v>352</v>
      </c>
      <c r="H44" s="260">
        <f>3900/1.62</f>
        <v>2407.4074074074074</v>
      </c>
      <c r="I44" s="261">
        <v>418</v>
      </c>
      <c r="J44" s="260"/>
      <c r="K44" s="262"/>
      <c r="L44" s="263">
        <f>H44</f>
        <v>2407.4074074074074</v>
      </c>
      <c r="M44" s="264"/>
      <c r="N44" s="258"/>
      <c r="O44" s="258"/>
      <c r="P44" s="258"/>
      <c r="Q44" s="258"/>
      <c r="R44" s="258"/>
      <c r="S44" s="258"/>
      <c r="T44" s="258"/>
      <c r="U44" s="258"/>
    </row>
    <row r="45" spans="1:21" s="265" customFormat="1" ht="30" customHeight="1">
      <c r="A45" s="258" t="s">
        <v>249</v>
      </c>
      <c r="B45" s="258" t="s">
        <v>250</v>
      </c>
      <c r="C45" s="259" t="s">
        <v>258</v>
      </c>
      <c r="D45" s="312">
        <v>1.9</v>
      </c>
      <c r="E45" s="261" t="s">
        <v>259</v>
      </c>
      <c r="F45" s="260">
        <v>450</v>
      </c>
      <c r="G45" s="261" t="s">
        <v>353</v>
      </c>
      <c r="H45" s="264">
        <v>470</v>
      </c>
      <c r="I45" s="291">
        <v>1238</v>
      </c>
      <c r="J45" s="260"/>
      <c r="K45" s="262"/>
      <c r="L45" s="313">
        <f>D45</f>
        <v>1.9</v>
      </c>
      <c r="M45" s="264"/>
      <c r="N45" s="258"/>
      <c r="O45" s="258"/>
      <c r="P45" s="258"/>
      <c r="Q45" s="258"/>
      <c r="R45" s="258"/>
      <c r="S45" s="258"/>
      <c r="T45" s="258"/>
      <c r="U45" s="258"/>
    </row>
    <row r="46" spans="1:21" s="265" customFormat="1" ht="30" customHeight="1">
      <c r="A46" s="258" t="s">
        <v>318</v>
      </c>
      <c r="B46" s="258"/>
      <c r="C46" s="259" t="s">
        <v>258</v>
      </c>
      <c r="D46" s="260">
        <f>55700/18</f>
        <v>3094.4444444444443</v>
      </c>
      <c r="E46" s="261" t="s">
        <v>354</v>
      </c>
      <c r="F46" s="260">
        <f>52100/18</f>
        <v>2894.4444444444443</v>
      </c>
      <c r="G46" s="261" t="s">
        <v>355</v>
      </c>
      <c r="H46" s="264">
        <f>52100/18</f>
        <v>2894.4444444444443</v>
      </c>
      <c r="I46" s="291">
        <v>480</v>
      </c>
      <c r="J46" s="260"/>
      <c r="K46" s="262"/>
      <c r="L46" s="263">
        <f>H46</f>
        <v>2894.4444444444443</v>
      </c>
      <c r="M46" s="264"/>
      <c r="N46" s="258"/>
      <c r="O46" s="258"/>
      <c r="P46" s="258"/>
      <c r="Q46" s="258"/>
      <c r="R46" s="258"/>
      <c r="S46" s="258"/>
      <c r="T46" s="258"/>
      <c r="U46" s="258"/>
    </row>
    <row r="47" spans="1:21" s="265" customFormat="1" ht="30" customHeight="1">
      <c r="A47" s="258" t="s">
        <v>275</v>
      </c>
      <c r="B47" s="258" t="s">
        <v>277</v>
      </c>
      <c r="C47" s="259" t="s">
        <v>276</v>
      </c>
      <c r="D47" s="260">
        <f>3750000/(28*2.88)</f>
        <v>46502.976190476191</v>
      </c>
      <c r="E47" s="261" t="s">
        <v>278</v>
      </c>
      <c r="F47" s="260">
        <f>3750000/(28*2.88)</f>
        <v>46502.976190476191</v>
      </c>
      <c r="G47" s="261" t="s">
        <v>356</v>
      </c>
      <c r="H47" s="260">
        <f>3605000/(28*2.88)</f>
        <v>44704.861111111109</v>
      </c>
      <c r="I47" s="261">
        <v>36</v>
      </c>
      <c r="J47" s="260"/>
      <c r="K47" s="262"/>
      <c r="L47" s="263">
        <f>H47</f>
        <v>44704.861111111109</v>
      </c>
      <c r="M47" s="264"/>
      <c r="N47" s="258"/>
      <c r="O47" s="258"/>
      <c r="P47" s="258"/>
      <c r="Q47" s="258"/>
      <c r="R47" s="258"/>
      <c r="S47" s="258"/>
      <c r="T47" s="258"/>
      <c r="U47" s="258"/>
    </row>
    <row r="48" spans="1:21" s="281" customFormat="1" ht="30" customHeight="1">
      <c r="A48" s="258" t="s">
        <v>565</v>
      </c>
      <c r="B48" s="274"/>
      <c r="C48" s="259" t="s">
        <v>227</v>
      </c>
      <c r="D48" s="260">
        <v>220</v>
      </c>
      <c r="E48" s="261" t="s">
        <v>232</v>
      </c>
      <c r="F48" s="270">
        <v>170</v>
      </c>
      <c r="G48" s="261" t="s">
        <v>609</v>
      </c>
      <c r="H48" s="267">
        <v>220</v>
      </c>
      <c r="I48" s="269">
        <v>430</v>
      </c>
      <c r="J48" s="270"/>
      <c r="K48" s="271"/>
      <c r="L48" s="272">
        <f>F48</f>
        <v>170</v>
      </c>
      <c r="M48" s="267"/>
      <c r="N48" s="279"/>
      <c r="O48" s="280"/>
      <c r="P48" s="275"/>
      <c r="Q48" s="275"/>
      <c r="R48" s="275"/>
      <c r="S48" s="275"/>
      <c r="T48" s="276"/>
      <c r="U48" s="276"/>
    </row>
    <row r="49" spans="1:21" s="281" customFormat="1" ht="30" customHeight="1">
      <c r="A49" s="258" t="s">
        <v>298</v>
      </c>
      <c r="B49" s="274" t="s">
        <v>307</v>
      </c>
      <c r="C49" s="266" t="s">
        <v>300</v>
      </c>
      <c r="D49" s="270">
        <v>260</v>
      </c>
      <c r="E49" s="278" t="s">
        <v>358</v>
      </c>
      <c r="F49" s="270">
        <v>561</v>
      </c>
      <c r="G49" s="268" t="s">
        <v>357</v>
      </c>
      <c r="H49" s="267">
        <v>561</v>
      </c>
      <c r="I49" s="269">
        <v>1216</v>
      </c>
      <c r="J49" s="270"/>
      <c r="K49" s="271"/>
      <c r="L49" s="272">
        <v>260</v>
      </c>
      <c r="M49" s="267"/>
      <c r="N49" s="279"/>
      <c r="O49" s="280"/>
      <c r="P49" s="275"/>
      <c r="Q49" s="275"/>
      <c r="R49" s="275"/>
      <c r="S49" s="275"/>
      <c r="T49" s="276"/>
      <c r="U49" s="276"/>
    </row>
    <row r="50" spans="1:21" s="281" customFormat="1" ht="30" customHeight="1">
      <c r="A50" s="258" t="s">
        <v>251</v>
      </c>
      <c r="B50" s="274"/>
      <c r="C50" s="266" t="s">
        <v>186</v>
      </c>
      <c r="D50" s="270">
        <v>40000</v>
      </c>
      <c r="E50" s="278" t="s">
        <v>259</v>
      </c>
      <c r="F50" s="270">
        <v>25000</v>
      </c>
      <c r="G50" s="261" t="s">
        <v>353</v>
      </c>
      <c r="H50" s="267">
        <v>40000</v>
      </c>
      <c r="I50" s="269">
        <v>1238</v>
      </c>
      <c r="J50" s="270"/>
      <c r="K50" s="271"/>
      <c r="L50" s="272">
        <f>F50</f>
        <v>25000</v>
      </c>
      <c r="M50" s="267"/>
      <c r="N50" s="279"/>
      <c r="O50" s="280"/>
      <c r="P50" s="275"/>
      <c r="Q50" s="275"/>
      <c r="R50" s="275"/>
      <c r="S50" s="275"/>
      <c r="T50" s="276"/>
      <c r="U50" s="276"/>
    </row>
    <row r="51" spans="1:21" s="281" customFormat="1" ht="30" customHeight="1">
      <c r="A51" s="258" t="s">
        <v>270</v>
      </c>
      <c r="B51" s="274" t="s">
        <v>271</v>
      </c>
      <c r="C51" s="282" t="s">
        <v>176</v>
      </c>
      <c r="D51" s="270">
        <f>26870/(0.9*1.8)</f>
        <v>16586.419753086418</v>
      </c>
      <c r="E51" s="278" t="s">
        <v>359</v>
      </c>
      <c r="F51" s="270">
        <f>59520/2.88</f>
        <v>20666.666666666668</v>
      </c>
      <c r="G51" s="268" t="s">
        <v>360</v>
      </c>
      <c r="H51" s="267">
        <f>56240/2.88</f>
        <v>19527.777777777777</v>
      </c>
      <c r="I51" s="269">
        <v>28</v>
      </c>
      <c r="J51" s="270"/>
      <c r="K51" s="271"/>
      <c r="L51" s="272">
        <f>D51</f>
        <v>16586.419753086418</v>
      </c>
      <c r="M51" s="267"/>
      <c r="N51" s="279"/>
      <c r="O51" s="280"/>
      <c r="P51" s="275"/>
      <c r="Q51" s="275"/>
      <c r="R51" s="275"/>
      <c r="S51" s="275"/>
      <c r="T51" s="276"/>
      <c r="U51" s="276"/>
    </row>
    <row r="52" spans="1:21" s="281" customFormat="1" ht="30" customHeight="1">
      <c r="A52" s="258" t="s">
        <v>255</v>
      </c>
      <c r="B52" s="274" t="s">
        <v>256</v>
      </c>
      <c r="C52" s="266" t="s">
        <v>186</v>
      </c>
      <c r="D52" s="270">
        <v>9160</v>
      </c>
      <c r="E52" s="278" t="s">
        <v>257</v>
      </c>
      <c r="F52" s="270">
        <v>11170</v>
      </c>
      <c r="G52" s="268" t="s">
        <v>329</v>
      </c>
      <c r="H52" s="267">
        <v>9540</v>
      </c>
      <c r="I52" s="269">
        <v>1180</v>
      </c>
      <c r="J52" s="270"/>
      <c r="K52" s="271"/>
      <c r="L52" s="272">
        <f>D52</f>
        <v>9160</v>
      </c>
      <c r="M52" s="267"/>
      <c r="N52" s="279"/>
      <c r="O52" s="280"/>
      <c r="P52" s="275"/>
      <c r="Q52" s="275"/>
      <c r="R52" s="275"/>
      <c r="S52" s="275"/>
      <c r="T52" s="276"/>
      <c r="U52" s="276"/>
    </row>
    <row r="53" spans="1:21" s="281" customFormat="1" ht="30" customHeight="1">
      <c r="A53" s="258" t="s">
        <v>247</v>
      </c>
      <c r="B53" s="274" t="s">
        <v>248</v>
      </c>
      <c r="C53" s="266" t="s">
        <v>186</v>
      </c>
      <c r="D53" s="270">
        <v>3100</v>
      </c>
      <c r="E53" s="278" t="s">
        <v>257</v>
      </c>
      <c r="F53" s="270">
        <v>2320</v>
      </c>
      <c r="G53" s="268" t="s">
        <v>329</v>
      </c>
      <c r="H53" s="267">
        <v>2280</v>
      </c>
      <c r="I53" s="269">
        <v>1180</v>
      </c>
      <c r="J53" s="270"/>
      <c r="K53" s="271"/>
      <c r="L53" s="272">
        <f>H53</f>
        <v>2280</v>
      </c>
      <c r="M53" s="267"/>
      <c r="N53" s="279"/>
      <c r="O53" s="280"/>
      <c r="P53" s="275"/>
      <c r="Q53" s="275"/>
      <c r="R53" s="275"/>
      <c r="S53" s="275"/>
      <c r="T53" s="276"/>
      <c r="U53" s="276"/>
    </row>
    <row r="54" spans="1:21" s="265" customFormat="1" ht="30" customHeight="1">
      <c r="A54" s="258" t="s">
        <v>217</v>
      </c>
      <c r="B54" s="258" t="s">
        <v>330</v>
      </c>
      <c r="C54" s="259" t="s">
        <v>176</v>
      </c>
      <c r="D54" s="260">
        <v>30000</v>
      </c>
      <c r="E54" s="261" t="s">
        <v>361</v>
      </c>
      <c r="F54" s="260">
        <v>30000</v>
      </c>
      <c r="G54" s="261" t="s">
        <v>362</v>
      </c>
      <c r="H54" s="260">
        <v>30000</v>
      </c>
      <c r="I54" s="261">
        <v>422</v>
      </c>
      <c r="J54" s="260"/>
      <c r="K54" s="262"/>
      <c r="L54" s="263">
        <f>F54</f>
        <v>30000</v>
      </c>
      <c r="M54" s="264"/>
      <c r="N54" s="258"/>
      <c r="O54" s="258"/>
      <c r="P54" s="258"/>
      <c r="Q54" s="258"/>
      <c r="R54" s="258"/>
      <c r="S54" s="258"/>
      <c r="T54" s="258"/>
      <c r="U54" s="258"/>
    </row>
    <row r="55" spans="1:21" s="265" customFormat="1" ht="30" customHeight="1">
      <c r="A55" s="258" t="s">
        <v>421</v>
      </c>
      <c r="B55" s="258" t="s">
        <v>419</v>
      </c>
      <c r="C55" s="259" t="s">
        <v>420</v>
      </c>
      <c r="D55" s="260">
        <f>92300/16</f>
        <v>5768.75</v>
      </c>
      <c r="E55" s="261" t="s">
        <v>361</v>
      </c>
      <c r="F55" s="260"/>
      <c r="G55" s="261"/>
      <c r="H55" s="260"/>
      <c r="I55" s="261"/>
      <c r="J55" s="260"/>
      <c r="K55" s="262"/>
      <c r="L55" s="263">
        <f>D55</f>
        <v>5768.75</v>
      </c>
      <c r="M55" s="264"/>
      <c r="N55" s="258"/>
      <c r="O55" s="258"/>
      <c r="P55" s="258"/>
      <c r="Q55" s="258"/>
      <c r="R55" s="258"/>
      <c r="S55" s="258"/>
      <c r="T55" s="258"/>
      <c r="U55" s="258"/>
    </row>
    <row r="56" spans="1:21" s="265" customFormat="1" ht="30" customHeight="1">
      <c r="A56" s="258" t="s">
        <v>422</v>
      </c>
      <c r="B56" s="258" t="s">
        <v>419</v>
      </c>
      <c r="C56" s="259" t="s">
        <v>420</v>
      </c>
      <c r="D56" s="260">
        <f>218000/16</f>
        <v>13625</v>
      </c>
      <c r="E56" s="261" t="s">
        <v>361</v>
      </c>
      <c r="F56" s="260"/>
      <c r="G56" s="261"/>
      <c r="H56" s="260"/>
      <c r="I56" s="261"/>
      <c r="J56" s="260"/>
      <c r="K56" s="262"/>
      <c r="L56" s="263">
        <f>D56</f>
        <v>13625</v>
      </c>
      <c r="M56" s="264"/>
      <c r="N56" s="258"/>
      <c r="O56" s="258"/>
      <c r="P56" s="258"/>
      <c r="Q56" s="258"/>
      <c r="R56" s="258"/>
      <c r="S56" s="258"/>
      <c r="T56" s="258"/>
      <c r="U56" s="258"/>
    </row>
    <row r="57" spans="1:21" s="265" customFormat="1" ht="30" customHeight="1">
      <c r="A57" s="258" t="s">
        <v>229</v>
      </c>
      <c r="B57" s="258"/>
      <c r="C57" s="259" t="s">
        <v>230</v>
      </c>
      <c r="D57" s="260">
        <v>1560</v>
      </c>
      <c r="E57" s="261" t="s">
        <v>232</v>
      </c>
      <c r="F57" s="260">
        <v>1300</v>
      </c>
      <c r="G57" s="261" t="s">
        <v>345</v>
      </c>
      <c r="H57" s="260">
        <v>1560</v>
      </c>
      <c r="I57" s="261">
        <v>430</v>
      </c>
      <c r="J57" s="260"/>
      <c r="K57" s="262"/>
      <c r="L57" s="263">
        <f>F57</f>
        <v>1300</v>
      </c>
      <c r="M57" s="264"/>
      <c r="N57" s="258"/>
      <c r="O57" s="258"/>
      <c r="P57" s="258"/>
      <c r="Q57" s="258"/>
      <c r="R57" s="258"/>
      <c r="S57" s="258"/>
      <c r="T57" s="258"/>
      <c r="U57" s="258"/>
    </row>
    <row r="58" spans="1:21" s="265" customFormat="1" ht="30" customHeight="1">
      <c r="A58" s="258" t="s">
        <v>239</v>
      </c>
      <c r="B58" s="258"/>
      <c r="C58" s="259" t="s">
        <v>240</v>
      </c>
      <c r="D58" s="260"/>
      <c r="E58" s="261"/>
      <c r="F58" s="260">
        <v>190</v>
      </c>
      <c r="G58" s="261" t="s">
        <v>345</v>
      </c>
      <c r="H58" s="260"/>
      <c r="I58" s="261"/>
      <c r="J58" s="260"/>
      <c r="K58" s="262"/>
      <c r="L58" s="263">
        <f>F58</f>
        <v>190</v>
      </c>
      <c r="M58" s="264"/>
      <c r="N58" s="258"/>
      <c r="O58" s="258"/>
      <c r="P58" s="258"/>
      <c r="Q58" s="258"/>
      <c r="R58" s="258"/>
      <c r="S58" s="258"/>
      <c r="T58" s="258"/>
      <c r="U58" s="258"/>
    </row>
    <row r="59" spans="1:21" s="265" customFormat="1" ht="30" customHeight="1">
      <c r="A59" s="258" t="s">
        <v>236</v>
      </c>
      <c r="B59" s="258"/>
      <c r="C59" s="259" t="s">
        <v>237</v>
      </c>
      <c r="D59" s="260"/>
      <c r="E59" s="261"/>
      <c r="F59" s="260"/>
      <c r="G59" s="261"/>
      <c r="H59" s="260"/>
      <c r="I59" s="261"/>
      <c r="J59" s="260">
        <v>130</v>
      </c>
      <c r="K59" s="300" t="s">
        <v>238</v>
      </c>
      <c r="L59" s="263">
        <f>J59</f>
        <v>130</v>
      </c>
      <c r="M59" s="264"/>
      <c r="N59" s="258"/>
      <c r="O59" s="258"/>
      <c r="P59" s="258"/>
      <c r="Q59" s="258"/>
      <c r="R59" s="258"/>
      <c r="S59" s="258"/>
      <c r="T59" s="258"/>
      <c r="U59" s="258"/>
    </row>
    <row r="60" spans="1:21" s="265" customFormat="1" ht="30" customHeight="1">
      <c r="A60" s="258" t="s">
        <v>381</v>
      </c>
      <c r="B60" s="258" t="s">
        <v>382</v>
      </c>
      <c r="C60" s="259" t="s">
        <v>186</v>
      </c>
      <c r="D60" s="260">
        <v>1585.2173913043478</v>
      </c>
      <c r="E60" s="261" t="s">
        <v>383</v>
      </c>
      <c r="F60" s="260">
        <v>1540</v>
      </c>
      <c r="G60" s="261" t="s">
        <v>384</v>
      </c>
      <c r="H60" s="260">
        <v>1463</v>
      </c>
      <c r="I60" s="261">
        <v>43</v>
      </c>
      <c r="J60" s="260">
        <v>1075</v>
      </c>
      <c r="K60" s="300" t="s">
        <v>385</v>
      </c>
      <c r="L60" s="263">
        <v>1075</v>
      </c>
      <c r="M60" s="264"/>
      <c r="N60" s="258"/>
      <c r="O60" s="258"/>
      <c r="P60" s="258"/>
      <c r="Q60" s="258"/>
      <c r="R60" s="258"/>
      <c r="S60" s="258"/>
      <c r="T60" s="258"/>
      <c r="U60" s="258"/>
    </row>
    <row r="61" spans="1:21" s="265" customFormat="1" ht="30" customHeight="1">
      <c r="A61" s="258" t="s">
        <v>381</v>
      </c>
      <c r="B61" s="258" t="s">
        <v>386</v>
      </c>
      <c r="C61" s="259" t="s">
        <v>186</v>
      </c>
      <c r="D61" s="260">
        <v>1455.2173913043478</v>
      </c>
      <c r="E61" s="261" t="s">
        <v>383</v>
      </c>
      <c r="F61" s="260">
        <v>1385</v>
      </c>
      <c r="G61" s="261" t="s">
        <v>384</v>
      </c>
      <c r="H61" s="260">
        <v>1315.75</v>
      </c>
      <c r="I61" s="261">
        <v>43</v>
      </c>
      <c r="J61" s="260">
        <v>944</v>
      </c>
      <c r="K61" s="300" t="s">
        <v>385</v>
      </c>
      <c r="L61" s="263">
        <v>944</v>
      </c>
      <c r="M61" s="264"/>
      <c r="N61" s="258"/>
      <c r="O61" s="258"/>
      <c r="P61" s="258"/>
      <c r="Q61" s="258"/>
      <c r="R61" s="258"/>
      <c r="S61" s="258"/>
      <c r="T61" s="258"/>
      <c r="U61" s="258"/>
    </row>
    <row r="62" spans="1:21" s="265" customFormat="1" ht="30" customHeight="1">
      <c r="A62" s="258" t="s">
        <v>315</v>
      </c>
      <c r="B62" s="258"/>
      <c r="C62" s="259" t="s">
        <v>186</v>
      </c>
      <c r="D62" s="260"/>
      <c r="E62" s="261"/>
      <c r="F62" s="260">
        <f>9000/5</f>
        <v>1800</v>
      </c>
      <c r="G62" s="261" t="s">
        <v>363</v>
      </c>
      <c r="H62" s="260"/>
      <c r="I62" s="261"/>
      <c r="J62" s="260"/>
      <c r="K62" s="262"/>
      <c r="L62" s="263">
        <f>F62</f>
        <v>1800</v>
      </c>
      <c r="M62" s="264"/>
      <c r="N62" s="258"/>
      <c r="O62" s="258"/>
      <c r="P62" s="258"/>
      <c r="Q62" s="258"/>
      <c r="R62" s="258"/>
      <c r="S62" s="258"/>
      <c r="T62" s="258"/>
      <c r="U62" s="258"/>
    </row>
    <row r="63" spans="1:21" s="265" customFormat="1" ht="30" customHeight="1">
      <c r="A63" s="258" t="s">
        <v>447</v>
      </c>
      <c r="B63" s="258" t="s">
        <v>448</v>
      </c>
      <c r="C63" s="259"/>
      <c r="D63" s="260"/>
      <c r="E63" s="261"/>
      <c r="F63" s="260"/>
      <c r="G63" s="261"/>
      <c r="H63" s="260"/>
      <c r="I63" s="261"/>
      <c r="J63" s="260">
        <f>12000/12</f>
        <v>1000</v>
      </c>
      <c r="K63" s="262" t="s">
        <v>449</v>
      </c>
      <c r="L63" s="263">
        <f>J63</f>
        <v>1000</v>
      </c>
      <c r="M63" s="264"/>
      <c r="N63" s="258"/>
      <c r="O63" s="258"/>
      <c r="P63" s="258"/>
      <c r="Q63" s="258"/>
      <c r="R63" s="258"/>
      <c r="S63" s="258"/>
      <c r="T63" s="258"/>
      <c r="U63" s="258"/>
    </row>
    <row r="64" spans="1:21" s="265" customFormat="1" ht="30" customHeight="1">
      <c r="A64" s="258" t="s">
        <v>319</v>
      </c>
      <c r="B64" s="258" t="s">
        <v>320</v>
      </c>
      <c r="C64" s="259" t="s">
        <v>321</v>
      </c>
      <c r="D64" s="260">
        <f>155980/16</f>
        <v>9748.75</v>
      </c>
      <c r="E64" s="261" t="s">
        <v>365</v>
      </c>
      <c r="F64" s="260">
        <f>162680/18</f>
        <v>9037.7777777777774</v>
      </c>
      <c r="G64" s="261" t="s">
        <v>364</v>
      </c>
      <c r="H64" s="260">
        <f>160720/16</f>
        <v>10045</v>
      </c>
      <c r="I64" s="261">
        <v>486</v>
      </c>
      <c r="J64" s="260"/>
      <c r="K64" s="262"/>
      <c r="L64" s="263">
        <f>F64</f>
        <v>9037.7777777777774</v>
      </c>
      <c r="M64" s="264"/>
      <c r="N64" s="258"/>
      <c r="O64" s="258"/>
      <c r="P64" s="258"/>
      <c r="Q64" s="258"/>
      <c r="R64" s="258"/>
      <c r="S64" s="258"/>
      <c r="T64" s="258"/>
      <c r="U64" s="258"/>
    </row>
    <row r="65" spans="1:21" s="265" customFormat="1" ht="30" customHeight="1">
      <c r="A65" s="286" t="s">
        <v>334</v>
      </c>
      <c r="B65" s="286" t="s">
        <v>335</v>
      </c>
      <c r="C65" s="259" t="s">
        <v>336</v>
      </c>
      <c r="D65" s="260">
        <f>17500/2.88</f>
        <v>6076.3888888888887</v>
      </c>
      <c r="E65" s="261" t="s">
        <v>366</v>
      </c>
      <c r="F65" s="260">
        <f>19360/2.88</f>
        <v>6722.2222222222226</v>
      </c>
      <c r="G65" s="261" t="s">
        <v>368</v>
      </c>
      <c r="H65" s="260">
        <f>18400/2.88</f>
        <v>6388.8888888888887</v>
      </c>
      <c r="I65" s="261">
        <v>407</v>
      </c>
      <c r="J65" s="260"/>
      <c r="K65" s="262"/>
      <c r="L65" s="263">
        <f>H65</f>
        <v>6388.8888888888887</v>
      </c>
      <c r="M65" s="264"/>
      <c r="N65" s="258"/>
      <c r="O65" s="258"/>
      <c r="P65" s="258"/>
      <c r="Q65" s="258"/>
      <c r="R65" s="258"/>
      <c r="S65" s="258"/>
      <c r="T65" s="258"/>
      <c r="U65" s="258"/>
    </row>
    <row r="66" spans="1:21" s="265" customFormat="1" ht="30" customHeight="1">
      <c r="A66" s="286" t="s">
        <v>334</v>
      </c>
      <c r="B66" s="286" t="s">
        <v>338</v>
      </c>
      <c r="C66" s="259" t="s">
        <v>336</v>
      </c>
      <c r="D66" s="260">
        <f>12500/2.88</f>
        <v>4340.2777777777783</v>
      </c>
      <c r="E66" s="261" t="s">
        <v>366</v>
      </c>
      <c r="F66" s="260">
        <f>13950/2.88</f>
        <v>4843.75</v>
      </c>
      <c r="G66" s="261" t="s">
        <v>368</v>
      </c>
      <c r="H66" s="260">
        <f>13100/2.88</f>
        <v>4548.6111111111113</v>
      </c>
      <c r="I66" s="261">
        <v>407</v>
      </c>
      <c r="J66" s="260"/>
      <c r="K66" s="262"/>
      <c r="L66" s="263">
        <f>H66</f>
        <v>4548.6111111111113</v>
      </c>
      <c r="M66" s="264"/>
      <c r="N66" s="258"/>
      <c r="O66" s="258"/>
      <c r="P66" s="258"/>
      <c r="Q66" s="258"/>
      <c r="R66" s="258"/>
      <c r="S66" s="258"/>
      <c r="T66" s="258"/>
      <c r="U66" s="258"/>
    </row>
    <row r="67" spans="1:21" s="265" customFormat="1" ht="30" customHeight="1">
      <c r="A67" s="286" t="s">
        <v>334</v>
      </c>
      <c r="B67" s="286" t="s">
        <v>339</v>
      </c>
      <c r="C67" s="259" t="s">
        <v>336</v>
      </c>
      <c r="D67" s="260">
        <f>8400/2.88</f>
        <v>2916.666666666667</v>
      </c>
      <c r="E67" s="261" t="s">
        <v>366</v>
      </c>
      <c r="F67" s="260">
        <f>8630/2.88</f>
        <v>2996.5277777777778</v>
      </c>
      <c r="G67" s="261" t="s">
        <v>368</v>
      </c>
      <c r="H67" s="260">
        <f>8000/2.88</f>
        <v>2777.7777777777778</v>
      </c>
      <c r="I67" s="261">
        <v>407</v>
      </c>
      <c r="J67" s="260"/>
      <c r="K67" s="262"/>
      <c r="L67" s="263">
        <f>D67</f>
        <v>2916.666666666667</v>
      </c>
      <c r="M67" s="264"/>
      <c r="N67" s="258"/>
      <c r="O67" s="258"/>
      <c r="P67" s="258"/>
      <c r="Q67" s="258"/>
      <c r="R67" s="258"/>
      <c r="S67" s="258"/>
      <c r="T67" s="258"/>
      <c r="U67" s="258"/>
    </row>
    <row r="68" spans="1:21" s="265" customFormat="1" ht="30" customHeight="1">
      <c r="A68" s="286" t="s">
        <v>396</v>
      </c>
      <c r="B68" s="286" t="s">
        <v>504</v>
      </c>
      <c r="C68" s="259" t="s">
        <v>22</v>
      </c>
      <c r="D68" s="260">
        <v>8100</v>
      </c>
      <c r="E68" s="261" t="s">
        <v>397</v>
      </c>
      <c r="F68" s="260">
        <v>8200</v>
      </c>
      <c r="G68" s="261" t="s">
        <v>505</v>
      </c>
      <c r="H68" s="260">
        <v>8100</v>
      </c>
      <c r="I68" s="261">
        <v>424</v>
      </c>
      <c r="J68" s="260"/>
      <c r="K68" s="262"/>
      <c r="L68" s="263">
        <f>D68</f>
        <v>8100</v>
      </c>
      <c r="M68" s="264"/>
      <c r="N68" s="258"/>
      <c r="O68" s="258"/>
      <c r="P68" s="258"/>
      <c r="Q68" s="258"/>
      <c r="R68" s="258"/>
      <c r="S68" s="258"/>
      <c r="T68" s="258"/>
      <c r="U68" s="258"/>
    </row>
    <row r="69" spans="1:21" s="265" customFormat="1" ht="30" customHeight="1">
      <c r="A69" s="286" t="s">
        <v>473</v>
      </c>
      <c r="B69" s="286"/>
      <c r="C69" s="259" t="s">
        <v>471</v>
      </c>
      <c r="D69" s="260"/>
      <c r="E69" s="261"/>
      <c r="F69" s="260"/>
      <c r="G69" s="261"/>
      <c r="H69" s="260"/>
      <c r="I69" s="261"/>
      <c r="J69" s="260">
        <f>3850/25</f>
        <v>154</v>
      </c>
      <c r="K69" s="262" t="s">
        <v>503</v>
      </c>
      <c r="L69" s="263">
        <f>J69</f>
        <v>154</v>
      </c>
      <c r="M69" s="264"/>
      <c r="N69" s="258"/>
      <c r="O69" s="258"/>
      <c r="P69" s="258"/>
      <c r="Q69" s="258"/>
      <c r="R69" s="258"/>
      <c r="S69" s="258"/>
      <c r="T69" s="258"/>
      <c r="U69" s="258"/>
    </row>
    <row r="70" spans="1:21" s="265" customFormat="1" ht="30" customHeight="1">
      <c r="A70" s="258" t="s">
        <v>409</v>
      </c>
      <c r="B70" s="258" t="s">
        <v>410</v>
      </c>
      <c r="C70" s="259" t="s">
        <v>208</v>
      </c>
      <c r="D70" s="260"/>
      <c r="E70" s="261"/>
      <c r="F70" s="260"/>
      <c r="G70" s="261"/>
      <c r="H70" s="260"/>
      <c r="I70" s="261"/>
      <c r="J70" s="260">
        <f>16000/20</f>
        <v>800</v>
      </c>
      <c r="K70" s="262" t="s">
        <v>207</v>
      </c>
      <c r="L70" s="263">
        <f t="shared" ref="L70" si="2">J70</f>
        <v>800</v>
      </c>
      <c r="M70" s="264"/>
      <c r="N70" s="258"/>
      <c r="O70" s="258"/>
      <c r="P70" s="258"/>
      <c r="Q70" s="258"/>
      <c r="R70" s="258"/>
      <c r="S70" s="258"/>
      <c r="T70" s="258"/>
      <c r="U70" s="258"/>
    </row>
    <row r="71" spans="1:21" s="265" customFormat="1" ht="30" customHeight="1">
      <c r="A71" s="258" t="s">
        <v>313</v>
      </c>
      <c r="B71" s="258"/>
      <c r="C71" s="259" t="s">
        <v>230</v>
      </c>
      <c r="D71" s="260"/>
      <c r="E71" s="261"/>
      <c r="F71" s="260"/>
      <c r="G71" s="261"/>
      <c r="H71" s="260"/>
      <c r="I71" s="261"/>
      <c r="J71" s="260">
        <v>61.111111111111114</v>
      </c>
      <c r="K71" s="262" t="s">
        <v>316</v>
      </c>
      <c r="L71" s="263">
        <f>J71</f>
        <v>61.111111111111114</v>
      </c>
      <c r="M71" s="264"/>
      <c r="N71" s="258"/>
      <c r="O71" s="258"/>
      <c r="P71" s="258"/>
      <c r="Q71" s="258"/>
      <c r="R71" s="258"/>
      <c r="S71" s="258"/>
      <c r="T71" s="258"/>
      <c r="U71" s="258"/>
    </row>
    <row r="72" spans="1:21" s="265" customFormat="1" ht="30" customHeight="1">
      <c r="A72" s="286" t="s">
        <v>225</v>
      </c>
      <c r="B72" s="286" t="s">
        <v>492</v>
      </c>
      <c r="C72" s="259" t="s">
        <v>176</v>
      </c>
      <c r="D72" s="260">
        <f>13400/2.88</f>
        <v>4652.7777777777783</v>
      </c>
      <c r="E72" s="261" t="s">
        <v>367</v>
      </c>
      <c r="F72" s="260">
        <f>13770/2.88</f>
        <v>4781.25</v>
      </c>
      <c r="G72" s="261" t="s">
        <v>368</v>
      </c>
      <c r="H72" s="260">
        <f>13100/2.88</f>
        <v>4548.6111111111113</v>
      </c>
      <c r="I72" s="261">
        <v>419</v>
      </c>
      <c r="J72" s="260"/>
      <c r="K72" s="262"/>
      <c r="L72" s="263">
        <f>H72</f>
        <v>4548.6111111111113</v>
      </c>
      <c r="M72" s="264"/>
      <c r="N72" s="258"/>
      <c r="O72" s="258"/>
      <c r="P72" s="258"/>
      <c r="Q72" s="258"/>
      <c r="R72" s="258"/>
      <c r="S72" s="258"/>
      <c r="T72" s="258"/>
      <c r="U72" s="258"/>
    </row>
    <row r="73" spans="1:21" s="265" customFormat="1" ht="30" customHeight="1">
      <c r="A73" s="258" t="s">
        <v>241</v>
      </c>
      <c r="B73" s="258"/>
      <c r="C73" s="259" t="s">
        <v>230</v>
      </c>
      <c r="D73" s="260">
        <v>1160</v>
      </c>
      <c r="E73" s="261" t="s">
        <v>242</v>
      </c>
      <c r="F73" s="260">
        <v>1060</v>
      </c>
      <c r="G73" s="261" t="s">
        <v>345</v>
      </c>
      <c r="H73" s="260">
        <v>1160</v>
      </c>
      <c r="I73" s="269">
        <v>430</v>
      </c>
      <c r="J73" s="260"/>
      <c r="K73" s="262"/>
      <c r="L73" s="263">
        <f>D73</f>
        <v>1160</v>
      </c>
      <c r="M73" s="264"/>
      <c r="N73" s="258"/>
      <c r="O73" s="258"/>
      <c r="P73" s="258"/>
      <c r="Q73" s="258"/>
      <c r="R73" s="258"/>
      <c r="S73" s="258"/>
      <c r="T73" s="258"/>
      <c r="U73" s="258"/>
    </row>
    <row r="74" spans="1:21" s="265" customFormat="1" ht="30" customHeight="1">
      <c r="A74" s="258" t="s">
        <v>243</v>
      </c>
      <c r="B74" s="258"/>
      <c r="C74" s="259" t="s">
        <v>235</v>
      </c>
      <c r="D74" s="260"/>
      <c r="E74" s="261"/>
      <c r="F74" s="260"/>
      <c r="G74" s="261"/>
      <c r="H74" s="260"/>
      <c r="I74" s="261"/>
      <c r="J74" s="260">
        <v>40</v>
      </c>
      <c r="K74" s="262" t="s">
        <v>238</v>
      </c>
      <c r="L74" s="263">
        <f>J74</f>
        <v>40</v>
      </c>
      <c r="M74" s="264"/>
      <c r="N74" s="258"/>
      <c r="O74" s="258"/>
      <c r="P74" s="258"/>
      <c r="Q74" s="258"/>
      <c r="R74" s="258"/>
      <c r="S74" s="258"/>
      <c r="T74" s="258"/>
      <c r="U74" s="258"/>
    </row>
    <row r="75" spans="1:21" s="265" customFormat="1" ht="30" customHeight="1">
      <c r="A75" s="258" t="s">
        <v>244</v>
      </c>
      <c r="B75" s="258"/>
      <c r="C75" s="259" t="s">
        <v>235</v>
      </c>
      <c r="D75" s="260"/>
      <c r="E75" s="261"/>
      <c r="F75" s="260"/>
      <c r="G75" s="261"/>
      <c r="H75" s="260"/>
      <c r="I75" s="261"/>
      <c r="J75" s="260">
        <v>50</v>
      </c>
      <c r="K75" s="262" t="s">
        <v>238</v>
      </c>
      <c r="L75" s="263">
        <f>J75</f>
        <v>50</v>
      </c>
      <c r="M75" s="264"/>
      <c r="N75" s="258"/>
      <c r="O75" s="258"/>
      <c r="P75" s="258"/>
      <c r="Q75" s="258"/>
      <c r="R75" s="258"/>
      <c r="S75" s="258"/>
      <c r="T75" s="258"/>
      <c r="U75" s="258"/>
    </row>
    <row r="76" spans="1:21" s="265" customFormat="1" ht="30" customHeight="1">
      <c r="A76" s="258" t="s">
        <v>563</v>
      </c>
      <c r="B76" s="258"/>
      <c r="C76" s="259" t="s">
        <v>564</v>
      </c>
      <c r="D76" s="260"/>
      <c r="E76" s="261"/>
      <c r="F76" s="260"/>
      <c r="G76" s="261"/>
      <c r="H76" s="260"/>
      <c r="I76" s="261"/>
      <c r="J76" s="260">
        <f>48.6</f>
        <v>48.6</v>
      </c>
      <c r="K76" s="262" t="s">
        <v>207</v>
      </c>
      <c r="L76" s="263">
        <f>J76</f>
        <v>48.6</v>
      </c>
      <c r="M76" s="264"/>
      <c r="N76" s="258"/>
      <c r="O76" s="258"/>
      <c r="P76" s="258"/>
      <c r="Q76" s="258"/>
      <c r="R76" s="258"/>
      <c r="S76" s="258"/>
      <c r="T76" s="258"/>
      <c r="U76" s="258"/>
    </row>
    <row r="77" spans="1:21" s="265" customFormat="1" ht="30" customHeight="1">
      <c r="A77" s="258" t="s">
        <v>622</v>
      </c>
      <c r="B77" s="258" t="s">
        <v>756</v>
      </c>
      <c r="C77" s="259" t="s">
        <v>176</v>
      </c>
      <c r="D77" s="260">
        <v>13000</v>
      </c>
      <c r="E77" s="261" t="s">
        <v>757</v>
      </c>
      <c r="F77" s="260">
        <v>13300</v>
      </c>
      <c r="G77" s="261" t="s">
        <v>758</v>
      </c>
      <c r="H77" s="260">
        <v>13000</v>
      </c>
      <c r="I77" s="261">
        <v>688</v>
      </c>
      <c r="J77" s="260"/>
      <c r="K77" s="262"/>
      <c r="L77" s="263">
        <f>D77</f>
        <v>13000</v>
      </c>
      <c r="M77" s="264"/>
      <c r="N77" s="258"/>
      <c r="O77" s="258"/>
      <c r="P77" s="258"/>
      <c r="Q77" s="258"/>
      <c r="R77" s="258"/>
      <c r="S77" s="258"/>
      <c r="T77" s="258"/>
      <c r="U77" s="258"/>
    </row>
    <row r="78" spans="1:21" s="265" customFormat="1" ht="30" customHeight="1">
      <c r="A78" s="258"/>
      <c r="B78" s="258"/>
      <c r="C78" s="259"/>
      <c r="D78" s="260"/>
      <c r="E78" s="261"/>
      <c r="F78" s="260"/>
      <c r="G78" s="261"/>
      <c r="H78" s="260"/>
      <c r="I78" s="261"/>
      <c r="J78" s="260"/>
      <c r="K78" s="262"/>
      <c r="L78" s="263"/>
      <c r="M78" s="264"/>
      <c r="N78" s="258"/>
      <c r="O78" s="258"/>
      <c r="P78" s="258"/>
      <c r="Q78" s="258"/>
      <c r="R78" s="258"/>
      <c r="S78" s="258"/>
      <c r="T78" s="258"/>
      <c r="U78" s="258"/>
    </row>
    <row r="79" spans="1:21" s="265" customFormat="1" ht="30" customHeight="1">
      <c r="A79" s="286" t="s">
        <v>568</v>
      </c>
      <c r="B79" s="286" t="s">
        <v>754</v>
      </c>
      <c r="C79" s="283" t="s">
        <v>569</v>
      </c>
      <c r="D79" s="260"/>
      <c r="E79" s="261"/>
      <c r="F79" s="260"/>
      <c r="G79" s="261"/>
      <c r="H79" s="260"/>
      <c r="I79" s="261"/>
      <c r="J79" s="260">
        <v>285000</v>
      </c>
      <c r="K79" s="262" t="s">
        <v>507</v>
      </c>
      <c r="L79" s="263">
        <f>J79</f>
        <v>285000</v>
      </c>
      <c r="M79" s="264"/>
      <c r="N79" s="258"/>
      <c r="O79" s="258"/>
      <c r="P79" s="258"/>
      <c r="Q79" s="258"/>
      <c r="R79" s="258"/>
      <c r="S79" s="258"/>
      <c r="T79" s="258"/>
      <c r="U79" s="258"/>
    </row>
    <row r="80" spans="1:21" s="265" customFormat="1" ht="30" customHeight="1">
      <c r="A80" s="286" t="s">
        <v>654</v>
      </c>
      <c r="B80" s="286" t="s">
        <v>755</v>
      </c>
      <c r="C80" s="283" t="s">
        <v>655</v>
      </c>
      <c r="D80" s="260"/>
      <c r="E80" s="261"/>
      <c r="F80" s="260"/>
      <c r="G80" s="261"/>
      <c r="H80" s="260"/>
      <c r="I80" s="261"/>
      <c r="J80" s="260">
        <v>64000</v>
      </c>
      <c r="K80" s="262" t="s">
        <v>656</v>
      </c>
      <c r="L80" s="263">
        <f>J80</f>
        <v>64000</v>
      </c>
      <c r="M80" s="264"/>
      <c r="N80" s="258"/>
      <c r="O80" s="258"/>
      <c r="P80" s="258"/>
      <c r="Q80" s="258"/>
      <c r="R80" s="258"/>
      <c r="S80" s="258"/>
      <c r="T80" s="258"/>
      <c r="U80" s="258"/>
    </row>
    <row r="81" spans="1:21" s="265" customFormat="1" ht="30" customHeight="1">
      <c r="A81" s="286"/>
      <c r="B81" s="286"/>
      <c r="C81" s="283"/>
      <c r="D81" s="260"/>
      <c r="E81" s="261"/>
      <c r="F81" s="260"/>
      <c r="G81" s="261"/>
      <c r="H81" s="260"/>
      <c r="I81" s="261"/>
      <c r="J81" s="260"/>
      <c r="K81" s="262"/>
      <c r="L81" s="263"/>
      <c r="M81" s="264"/>
      <c r="N81" s="258"/>
      <c r="O81" s="258"/>
      <c r="P81" s="258"/>
      <c r="Q81" s="258"/>
      <c r="R81" s="258"/>
      <c r="S81" s="258"/>
      <c r="T81" s="258"/>
      <c r="U81" s="258"/>
    </row>
    <row r="82" spans="1:21" s="265" customFormat="1" ht="30" customHeight="1">
      <c r="A82" s="258" t="s">
        <v>734</v>
      </c>
      <c r="B82" s="290" t="s">
        <v>735</v>
      </c>
      <c r="C82" s="283" t="s">
        <v>736</v>
      </c>
      <c r="D82" s="260"/>
      <c r="E82" s="261"/>
      <c r="F82" s="260"/>
      <c r="G82" s="261"/>
      <c r="H82" s="260"/>
      <c r="I82" s="261"/>
      <c r="J82" s="260"/>
      <c r="K82" s="262"/>
      <c r="L82" s="263">
        <v>165035</v>
      </c>
      <c r="M82" s="264"/>
      <c r="N82" s="258"/>
      <c r="O82" s="258"/>
      <c r="P82" s="258"/>
      <c r="Q82" s="258"/>
      <c r="R82" s="258"/>
      <c r="S82" s="258"/>
      <c r="T82" s="258"/>
      <c r="U82" s="258"/>
    </row>
    <row r="83" spans="1:21" s="265" customFormat="1" ht="30" customHeight="1">
      <c r="A83" s="258" t="s">
        <v>737</v>
      </c>
      <c r="B83" s="290" t="s">
        <v>738</v>
      </c>
      <c r="C83" s="283" t="s">
        <v>736</v>
      </c>
      <c r="D83" s="260"/>
      <c r="E83" s="261"/>
      <c r="F83" s="260"/>
      <c r="G83" s="261"/>
      <c r="H83" s="260"/>
      <c r="I83" s="261"/>
      <c r="J83" s="260"/>
      <c r="K83" s="262"/>
      <c r="L83" s="263">
        <v>13660</v>
      </c>
      <c r="M83" s="264"/>
      <c r="N83" s="258"/>
      <c r="O83" s="258"/>
      <c r="P83" s="258"/>
      <c r="Q83" s="258"/>
      <c r="R83" s="258"/>
      <c r="S83" s="258"/>
      <c r="T83" s="258"/>
      <c r="U83" s="258"/>
    </row>
    <row r="84" spans="1:21" s="265" customFormat="1" ht="30" customHeight="1">
      <c r="A84" s="258"/>
      <c r="B84" s="285"/>
      <c r="C84" s="283"/>
      <c r="D84" s="260"/>
      <c r="E84" s="261"/>
      <c r="F84" s="260"/>
      <c r="G84" s="261"/>
      <c r="H84" s="260"/>
      <c r="I84" s="261"/>
      <c r="J84" s="260"/>
      <c r="K84" s="262"/>
      <c r="L84" s="263"/>
      <c r="M84" s="264"/>
      <c r="N84" s="258"/>
      <c r="O84" s="258"/>
      <c r="P84" s="258"/>
      <c r="Q84" s="258"/>
      <c r="R84" s="258"/>
      <c r="S84" s="258"/>
      <c r="T84" s="258"/>
      <c r="U84" s="258"/>
    </row>
    <row r="85" spans="1:21" s="265" customFormat="1" ht="30" customHeight="1">
      <c r="A85" s="258"/>
      <c r="B85" s="285"/>
      <c r="C85" s="283"/>
      <c r="D85" s="260"/>
      <c r="E85" s="261"/>
      <c r="F85" s="260"/>
      <c r="G85" s="261"/>
      <c r="H85" s="260"/>
      <c r="I85" s="261"/>
      <c r="J85" s="260"/>
      <c r="K85" s="262"/>
      <c r="L85" s="263"/>
      <c r="M85" s="264"/>
      <c r="N85" s="258"/>
      <c r="O85" s="258"/>
      <c r="P85" s="258"/>
      <c r="Q85" s="258"/>
      <c r="R85" s="258"/>
      <c r="S85" s="258"/>
      <c r="T85" s="258"/>
      <c r="U85" s="258"/>
    </row>
    <row r="86" spans="1:21" s="265" customFormat="1" ht="30" customHeight="1">
      <c r="A86" s="258"/>
      <c r="B86" s="285"/>
      <c r="C86" s="283"/>
      <c r="D86" s="260"/>
      <c r="E86" s="261"/>
      <c r="F86" s="260"/>
      <c r="G86" s="261"/>
      <c r="H86" s="260"/>
      <c r="I86" s="261"/>
      <c r="J86" s="260"/>
      <c r="K86" s="262"/>
      <c r="L86" s="263"/>
      <c r="M86" s="264"/>
      <c r="N86" s="258"/>
      <c r="O86" s="258"/>
      <c r="P86" s="258"/>
      <c r="Q86" s="258"/>
      <c r="R86" s="258"/>
      <c r="S86" s="258"/>
      <c r="T86" s="258"/>
      <c r="U86" s="258"/>
    </row>
    <row r="87" spans="1:21" s="265" customFormat="1" ht="30" customHeight="1">
      <c r="A87" s="258"/>
      <c r="B87" s="258"/>
      <c r="C87" s="283"/>
      <c r="D87" s="260"/>
      <c r="E87" s="261"/>
      <c r="F87" s="260"/>
      <c r="G87" s="261"/>
      <c r="H87" s="260"/>
      <c r="I87" s="261"/>
      <c r="J87" s="260"/>
      <c r="K87" s="262"/>
      <c r="L87" s="263"/>
      <c r="M87" s="264"/>
      <c r="N87" s="258"/>
      <c r="O87" s="258"/>
      <c r="P87" s="258"/>
      <c r="Q87" s="258"/>
      <c r="R87" s="258"/>
      <c r="S87" s="258"/>
      <c r="T87" s="258"/>
      <c r="U87" s="258"/>
    </row>
    <row r="88" spans="1:21" s="265" customFormat="1" ht="30" customHeight="1">
      <c r="A88" s="258"/>
      <c r="B88" s="258"/>
      <c r="C88" s="283"/>
      <c r="D88" s="260"/>
      <c r="E88" s="261"/>
      <c r="F88" s="260"/>
      <c r="G88" s="261"/>
      <c r="H88" s="260"/>
      <c r="I88" s="261"/>
      <c r="J88" s="260"/>
      <c r="K88" s="262"/>
      <c r="L88" s="263"/>
      <c r="M88" s="264"/>
      <c r="N88" s="258"/>
      <c r="O88" s="258"/>
      <c r="P88" s="258"/>
      <c r="Q88" s="258"/>
      <c r="R88" s="258"/>
      <c r="S88" s="258"/>
      <c r="T88" s="258"/>
      <c r="U88" s="258"/>
    </row>
    <row r="89" spans="1:21" s="265" customFormat="1" ht="30" customHeight="1">
      <c r="A89" s="258"/>
      <c r="B89" s="285"/>
      <c r="C89" s="283"/>
      <c r="D89" s="260"/>
      <c r="E89" s="261"/>
      <c r="F89" s="260"/>
      <c r="G89" s="261"/>
      <c r="H89" s="260"/>
      <c r="I89" s="261"/>
      <c r="J89" s="260"/>
      <c r="K89" s="262"/>
      <c r="L89" s="263"/>
      <c r="M89" s="264"/>
      <c r="N89" s="258"/>
      <c r="O89" s="258"/>
      <c r="P89" s="258"/>
      <c r="Q89" s="258"/>
      <c r="R89" s="258"/>
      <c r="S89" s="258"/>
      <c r="T89" s="258"/>
      <c r="U89" s="258"/>
    </row>
    <row r="90" spans="1:21" s="265" customFormat="1" ht="30" customHeight="1">
      <c r="A90" s="258"/>
      <c r="B90" s="285"/>
      <c r="C90" s="283"/>
      <c r="D90" s="260"/>
      <c r="E90" s="261"/>
      <c r="F90" s="260"/>
      <c r="G90" s="261"/>
      <c r="H90" s="260"/>
      <c r="I90" s="261"/>
      <c r="J90" s="260"/>
      <c r="K90" s="262"/>
      <c r="L90" s="263"/>
      <c r="M90" s="264"/>
      <c r="N90" s="258"/>
      <c r="O90" s="258"/>
      <c r="P90" s="258"/>
      <c r="Q90" s="258"/>
      <c r="R90" s="258"/>
      <c r="S90" s="258"/>
      <c r="T90" s="258"/>
      <c r="U90" s="258"/>
    </row>
    <row r="91" spans="1:21" s="265" customFormat="1" ht="30" customHeight="1">
      <c r="A91" s="258"/>
      <c r="B91" s="258"/>
      <c r="C91" s="259"/>
      <c r="D91" s="260"/>
      <c r="E91" s="261"/>
      <c r="F91" s="260"/>
      <c r="G91" s="261"/>
      <c r="H91" s="260"/>
      <c r="I91" s="261"/>
      <c r="J91" s="260"/>
      <c r="K91" s="262"/>
      <c r="L91" s="263"/>
      <c r="M91" s="264"/>
      <c r="N91" s="258"/>
      <c r="O91" s="258"/>
      <c r="P91" s="258"/>
      <c r="Q91" s="258"/>
      <c r="R91" s="258"/>
      <c r="S91" s="258"/>
      <c r="T91" s="258"/>
      <c r="U91" s="258"/>
    </row>
    <row r="92" spans="1:21" ht="30" customHeight="1"/>
    <row r="93" spans="1:21" ht="30" customHeight="1"/>
    <row r="94" spans="1:21" ht="30" customHeight="1"/>
    <row r="95" spans="1:21" ht="30" customHeight="1"/>
    <row r="96" spans="1:21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</sheetData>
  <autoFilter ref="A1:A106" xr:uid="{00000000-0009-0000-0000-000007000000}"/>
  <mergeCells count="7">
    <mergeCell ref="U1:U2"/>
    <mergeCell ref="A1:A2"/>
    <mergeCell ref="B1:B2"/>
    <mergeCell ref="C1:C2"/>
    <mergeCell ref="M1:M2"/>
    <mergeCell ref="N1:S1"/>
    <mergeCell ref="T1:T2"/>
  </mergeCells>
  <phoneticPr fontId="2" type="noConversion"/>
  <printOptions horizontalCentered="1" verticalCentered="1"/>
  <pageMargins left="0.39370078740157483" right="0.39370078740157483" top="0.74803149606299213" bottom="0.74803149606299213" header="0.51181102362204722" footer="0.31496062992125984"/>
  <pageSetup paperSize="9" scale="45" fitToHeight="0" orientation="landscape" r:id="rId1"/>
  <headerFooter>
    <oddHeader>&amp;C단 가 대 비 표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view="pageBreakPreview" zoomScaleNormal="100" zoomScaleSheetLayoutView="100" workbookViewId="0">
      <selection activeCell="M25" sqref="M25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view="pageBreakPreview" zoomScale="85" zoomScaleNormal="100" zoomScaleSheetLayoutView="85" workbookViewId="0">
      <selection activeCell="D2" sqref="D2:M2"/>
    </sheetView>
  </sheetViews>
  <sheetFormatPr defaultRowHeight="16.5"/>
  <sheetData/>
  <phoneticPr fontId="2" type="noConversion"/>
  <pageMargins left="0.7" right="0.7" top="0.75" bottom="0.75" header="0.3" footer="0.3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11</vt:i4>
      </vt:variant>
    </vt:vector>
  </HeadingPairs>
  <TitlesOfParts>
    <vt:vector size="21" baseType="lpstr">
      <vt:lpstr>내역서갑지</vt:lpstr>
      <vt:lpstr>원가계산서(건축)</vt:lpstr>
      <vt:lpstr>공종별집계표</vt:lpstr>
      <vt:lpstr>일위대가목록</vt:lpstr>
      <vt:lpstr>내역서</vt:lpstr>
      <vt:lpstr>일위대가</vt:lpstr>
      <vt:lpstr>물량산출서</vt:lpstr>
      <vt:lpstr>단가대비표</vt:lpstr>
      <vt:lpstr>용천상사</vt:lpstr>
      <vt:lpstr>예승유리</vt:lpstr>
      <vt:lpstr>공종별집계표!Print_Area</vt:lpstr>
      <vt:lpstr>내역서갑지!Print_Area</vt:lpstr>
      <vt:lpstr>단가대비표!Print_Area</vt:lpstr>
      <vt:lpstr>물량산출서!Print_Area</vt:lpstr>
      <vt:lpstr>'원가계산서(건축)'!Print_Area</vt:lpstr>
      <vt:lpstr>일위대가!Print_Area</vt:lpstr>
      <vt:lpstr>내역서!Print_Titles</vt:lpstr>
      <vt:lpstr>단가대비표!Print_Titles</vt:lpstr>
      <vt:lpstr>물량산출서!Print_Titles</vt:lpstr>
      <vt:lpstr>일위대가!Print_Titles</vt:lpstr>
      <vt:lpstr>일위대가목록!Print_Titles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사무국 공용PC</cp:lastModifiedBy>
  <cp:lastPrinted>2022-08-03T07:43:30Z</cp:lastPrinted>
  <dcterms:created xsi:type="dcterms:W3CDTF">2019-07-30T08:55:03Z</dcterms:created>
  <dcterms:modified xsi:type="dcterms:W3CDTF">2022-09-13T04:42:27Z</dcterms:modified>
</cp:coreProperties>
</file>