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drawings/drawing7.xml" ContentType="application/vnd.openxmlformats-officedocument.drawing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msung\Desktop\"/>
    </mc:Choice>
  </mc:AlternateContent>
  <workbookProtection workbookAlgorithmName="SHA-512" workbookHashValue="2dqUbGMlnWpxQkAWfJO6SnU1WPI4KOvXVAuXhQm2XJqzBwaTLqG7x2OyC3hA7Njp/HWQqMfA/Bj2cC3VX2mtyA==" workbookSaltValue="/Nzw1z5a8JjBtYwMrhbktw==" workbookSpinCount="100000" lockStructure="1"/>
  <bookViews>
    <workbookView xWindow="0" yWindow="0" windowWidth="15360" windowHeight="7665" tabRatio="970"/>
  </bookViews>
  <sheets>
    <sheet name="표지" sheetId="44" r:id="rId1"/>
    <sheet name="목차" sheetId="45" r:id="rId2"/>
    <sheet name="간지1(예산총칙)" sheetId="46" r:id="rId3"/>
    <sheet name="예산총칙" sheetId="49" r:id="rId4"/>
    <sheet name="간지2(2018년 세입·세출예산(안))" sheetId="48" r:id="rId5"/>
    <sheet name="세입예산규모1" sheetId="1" r:id="rId6"/>
    <sheet name="세입예산총괄표2" sheetId="2" r:id="rId7"/>
    <sheet name="세출예산총괄표3" sheetId="3" r:id="rId8"/>
    <sheet name="세출총괄표4" sheetId="4" r:id="rId9"/>
    <sheet name="세입세출요약총괄표5" sheetId="6" r:id="rId10"/>
    <sheet name="세입세출세부총괄표6" sheetId="5" r:id="rId11"/>
    <sheet name="간지3(세입예산 사업내역서)" sheetId="50" state="hidden" r:id="rId12"/>
    <sheet name="예산세입(사무국)" sheetId="14" state="hidden" r:id="rId13"/>
    <sheet name="예산세입(마두)" sheetId="16" state="hidden" r:id="rId14"/>
    <sheet name="예산세입(진로)" sheetId="18" state="hidden" r:id="rId15"/>
    <sheet name="예산세입(성사)" sheetId="20" state="hidden" r:id="rId16"/>
    <sheet name="예산세입(탄현)" sheetId="38" state="hidden" r:id="rId17"/>
    <sheet name="예산세입(주교)" sheetId="24" state="hidden" r:id="rId18"/>
    <sheet name="예산세입(일산서구)" sheetId="40" state="hidden" r:id="rId19"/>
    <sheet name="예산세입(토당)" sheetId="28" state="hidden" r:id="rId20"/>
    <sheet name="예산세입(상담)" sheetId="30" state="hidden" r:id="rId21"/>
    <sheet name="예산세입(화정)" sheetId="32" state="hidden" r:id="rId22"/>
    <sheet name="예산세입(백마)" sheetId="34" state="hidden" r:id="rId23"/>
    <sheet name="예산세입(능곡)" sheetId="36" state="hidden" r:id="rId24"/>
    <sheet name="간지4(세출예산 사업내역서)" sheetId="51" state="hidden" r:id="rId25"/>
    <sheet name="예산세출(사무국)" sheetId="15" state="hidden" r:id="rId26"/>
    <sheet name="예산세출(마두)" sheetId="17" state="hidden" r:id="rId27"/>
    <sheet name="예산세출(진로)" sheetId="19" state="hidden" r:id="rId28"/>
    <sheet name="예산세출(성사)" sheetId="21" state="hidden" r:id="rId29"/>
    <sheet name="예산세출(탄현)" sheetId="39" state="hidden" r:id="rId30"/>
    <sheet name="예산세출(주교)" sheetId="25" state="hidden" r:id="rId31"/>
    <sheet name="예산세출(일산서구)" sheetId="41" state="hidden" r:id="rId32"/>
    <sheet name="예산세출(토당)" sheetId="29" state="hidden" r:id="rId33"/>
    <sheet name="예산세출(상담)" sheetId="31" state="hidden" r:id="rId34"/>
    <sheet name="예산세출(화정)" sheetId="33" state="hidden" r:id="rId35"/>
    <sheet name="예산세출(백마)" sheetId="35" state="hidden" r:id="rId36"/>
    <sheet name="예산세출(능곡)" sheetId="37" state="hidden" r:id="rId37"/>
  </sheets>
  <externalReferences>
    <externalReference r:id="rId38"/>
    <externalReference r:id="rId39"/>
  </externalReferences>
  <definedNames>
    <definedName name="_xlnm.Print_Area" localSheetId="2">'간지1(예산총칙)'!$A$1:$M$26</definedName>
    <definedName name="_xlnm.Print_Area" localSheetId="4">'간지2(2018년 세입·세출예산(안))'!$A$1:$M$26</definedName>
    <definedName name="_xlnm.Print_Area" localSheetId="11">'간지3(세입예산 사업내역서)'!$A$1:$M$26</definedName>
    <definedName name="_xlnm.Print_Area" localSheetId="24">'간지4(세출예산 사업내역서)'!$A$1:$M$26</definedName>
    <definedName name="_xlnm.Print_Area" localSheetId="1">목차!$A$1:$E$43</definedName>
    <definedName name="_xlnm.Print_Area" localSheetId="10">세입세출세부총괄표6!$A$1:$N$100</definedName>
    <definedName name="_xlnm.Print_Area" localSheetId="9">세입세출요약총괄표5!$A$1:$N$20</definedName>
    <definedName name="_xlnm.Print_Area" localSheetId="5">세입예산규모1!$A$1:$G$9</definedName>
    <definedName name="_xlnm.Print_Area" localSheetId="6">세입예산총괄표2!$A$1:$G$74</definedName>
    <definedName name="_xlnm.Print_Area" localSheetId="7">세출예산총괄표3!$A$1:$G$19</definedName>
    <definedName name="_xlnm.Print_Area" localSheetId="8">세출총괄표4!$A$1:$G$100</definedName>
    <definedName name="_xlnm.Print_Area" localSheetId="23">'예산세입(능곡)'!$A$1:$S$20</definedName>
    <definedName name="_xlnm.Print_Area" localSheetId="13">'예산세입(마두)'!$A$1:$S$98</definedName>
    <definedName name="_xlnm.Print_Area" localSheetId="22">'예산세입(백마)'!$A$1:$S$20</definedName>
    <definedName name="_xlnm.Print_Area" localSheetId="12">'예산세입(사무국)'!$A$1:$P$28</definedName>
    <definedName name="_xlnm.Print_Area" localSheetId="20">'예산세입(상담)'!$A$1:$S$22</definedName>
    <definedName name="_xlnm.Print_Area" localSheetId="15">'예산세입(성사)'!$A$1:$S$33</definedName>
    <definedName name="_xlnm.Print_Area" localSheetId="18">'예산세입(일산서구)'!$A$1:$S$56</definedName>
    <definedName name="_xlnm.Print_Area" localSheetId="17">'예산세입(주교)'!$A$1:$S$29</definedName>
    <definedName name="_xlnm.Print_Area" localSheetId="14">'예산세입(진로)'!$A$1:$S$16</definedName>
    <definedName name="_xlnm.Print_Area" localSheetId="16">'예산세입(탄현)'!$A$1:$S$45</definedName>
    <definedName name="_xlnm.Print_Area" localSheetId="19">'예산세입(토당)'!$A$1:$S$147</definedName>
    <definedName name="_xlnm.Print_Area" localSheetId="21">'예산세입(화정)'!$A$1:$S$37</definedName>
    <definedName name="_xlnm.Print_Area" localSheetId="36">'예산세출(능곡)'!$A$1:$T$77</definedName>
    <definedName name="_xlnm.Print_Area" localSheetId="26">'예산세출(마두)'!$A$1:$T$279</definedName>
    <definedName name="_xlnm.Print_Area" localSheetId="35">'예산세출(백마)'!$A$1:$T$86</definedName>
    <definedName name="_xlnm.Print_Area" localSheetId="25">'예산세출(사무국)'!$A$1:$T$245</definedName>
    <definedName name="_xlnm.Print_Area" localSheetId="33">'예산세출(상담)'!$A$1:$T$228</definedName>
    <definedName name="_xlnm.Print_Area" localSheetId="28">'예산세출(성사)'!$A$1:$U$208</definedName>
    <definedName name="_xlnm.Print_Area" localSheetId="31">'예산세출(일산서구)'!$A$1:$T$277</definedName>
    <definedName name="_xlnm.Print_Area" localSheetId="30">'예산세출(주교)'!$A$1:$T$115</definedName>
    <definedName name="_xlnm.Print_Area" localSheetId="27">'예산세출(진로)'!$A$1:$T$162</definedName>
    <definedName name="_xlnm.Print_Area" localSheetId="29">'예산세출(탄현)'!$A$1:$T$277</definedName>
    <definedName name="_xlnm.Print_Area" localSheetId="32">'예산세출(토당)'!$A$1:$R$445</definedName>
    <definedName name="_xlnm.Print_Area" localSheetId="34">'예산세출(화정)'!$A$1:$R$141</definedName>
    <definedName name="_xlnm.Print_Area" localSheetId="3">예산총칙!$A$1:$F$92</definedName>
    <definedName name="_xlnm.Print_Area" localSheetId="0">표지!$A$1:$M$22</definedName>
    <definedName name="_xlnm.Print_Titles" localSheetId="10">세입세출세부총괄표6!$4:$6</definedName>
    <definedName name="_xlnm.Print_Titles" localSheetId="9">세입세출요약총괄표5!$4:$6</definedName>
    <definedName name="_xlnm.Print_Titles" localSheetId="6">세입예산총괄표2!$4:$6</definedName>
    <definedName name="_xlnm.Print_Titles" localSheetId="7">세출예산총괄표3!$4:$6</definedName>
    <definedName name="_xlnm.Print_Titles" localSheetId="8">세출총괄표4!$4:$6</definedName>
    <definedName name="_xlnm.Print_Titles" localSheetId="23">'예산세입(능곡)'!$3:$4</definedName>
    <definedName name="_xlnm.Print_Titles" localSheetId="13">'예산세입(마두)'!$3:$4</definedName>
    <definedName name="_xlnm.Print_Titles" localSheetId="22">'예산세입(백마)'!$3:$4</definedName>
    <definedName name="_xlnm.Print_Titles" localSheetId="12">'예산세입(사무국)'!$3:$4</definedName>
    <definedName name="_xlnm.Print_Titles" localSheetId="20">'예산세입(상담)'!$3:$4</definedName>
    <definedName name="_xlnm.Print_Titles" localSheetId="15">'예산세입(성사)'!$3:$4</definedName>
    <definedName name="_xlnm.Print_Titles" localSheetId="18">'예산세입(일산서구)'!$3:$4</definedName>
    <definedName name="_xlnm.Print_Titles" localSheetId="17">'예산세입(주교)'!$3:$4</definedName>
    <definedName name="_xlnm.Print_Titles" localSheetId="14">'예산세입(진로)'!$3:$4</definedName>
    <definedName name="_xlnm.Print_Titles" localSheetId="16">'예산세입(탄현)'!$3:$4</definedName>
    <definedName name="_xlnm.Print_Titles" localSheetId="19">'예산세입(토당)'!$3:$4</definedName>
    <definedName name="_xlnm.Print_Titles" localSheetId="21">'예산세입(화정)'!$3:$4</definedName>
    <definedName name="_xlnm.Print_Titles" localSheetId="36">'예산세출(능곡)'!$3:$4</definedName>
    <definedName name="_xlnm.Print_Titles" localSheetId="26">'예산세출(마두)'!$3:$4</definedName>
    <definedName name="_xlnm.Print_Titles" localSheetId="35">'예산세출(백마)'!$3:$4</definedName>
    <definedName name="_xlnm.Print_Titles" localSheetId="25">'예산세출(사무국)'!$3:$4</definedName>
    <definedName name="_xlnm.Print_Titles" localSheetId="33">'예산세출(상담)'!$3:$4</definedName>
    <definedName name="_xlnm.Print_Titles" localSheetId="28">'예산세출(성사)'!$3:$4</definedName>
    <definedName name="_xlnm.Print_Titles" localSheetId="31">'예산세출(일산서구)'!$3:$4</definedName>
    <definedName name="_xlnm.Print_Titles" localSheetId="30">'예산세출(주교)'!$3:$4</definedName>
    <definedName name="_xlnm.Print_Titles" localSheetId="27">'예산세출(진로)'!$3:$4</definedName>
    <definedName name="_xlnm.Print_Titles" localSheetId="29">'예산세출(탄현)'!$3:$4</definedName>
    <definedName name="_xlnm.Print_Titles" localSheetId="32">'예산세출(토당)'!$3:$4</definedName>
    <definedName name="_xlnm.Print_Titles" localSheetId="34">'예산세출(화정)'!$3:$4</definedName>
    <definedName name="은행코드" localSheetId="2">'[1]추산계좌(2분기)'!#REF!</definedName>
    <definedName name="은행코드" localSheetId="4">'[1]추산계좌(2분기)'!#REF!</definedName>
    <definedName name="은행코드" localSheetId="11">'[1]추산계좌(2분기)'!#REF!</definedName>
    <definedName name="은행코드" localSheetId="24">'[1]추산계좌(2분기)'!#REF!</definedName>
    <definedName name="은행코드" localSheetId="1">'[1]추산계좌(2분기)'!#REF!</definedName>
    <definedName name="은행코드" localSheetId="10">'[1]추산계좌(2분기)'!#REF!</definedName>
    <definedName name="은행코드" localSheetId="9">'[1]추산계좌(2분기)'!#REF!</definedName>
    <definedName name="은행코드" localSheetId="5">'[1]추산계좌(2분기)'!#REF!</definedName>
    <definedName name="은행코드" localSheetId="6">'[1]추산계좌(2분기)'!#REF!</definedName>
    <definedName name="은행코드" localSheetId="7">'[1]추산계좌(2분기)'!#REF!</definedName>
    <definedName name="은행코드" localSheetId="8">'[1]추산계좌(2분기)'!#REF!</definedName>
    <definedName name="은행코드" localSheetId="23">'[1]추산계좌(2분기)'!#REF!</definedName>
    <definedName name="은행코드" localSheetId="13">'[1]추산계좌(2분기)'!#REF!</definedName>
    <definedName name="은행코드" localSheetId="22">'[1]추산계좌(2분기)'!#REF!</definedName>
    <definedName name="은행코드" localSheetId="12">'[1]추산계좌(2분기)'!#REF!</definedName>
    <definedName name="은행코드" localSheetId="20">'[1]추산계좌(2분기)'!#REF!</definedName>
    <definedName name="은행코드" localSheetId="15">'[1]추산계좌(2분기)'!#REF!</definedName>
    <definedName name="은행코드" localSheetId="18">'[1]추산계좌(2분기)'!#REF!</definedName>
    <definedName name="은행코드" localSheetId="17">'[1]추산계좌(2분기)'!#REF!</definedName>
    <definedName name="은행코드" localSheetId="14">'[1]추산계좌(2분기)'!#REF!</definedName>
    <definedName name="은행코드" localSheetId="16">'[1]추산계좌(2분기)'!#REF!</definedName>
    <definedName name="은행코드" localSheetId="19">'[1]추산계좌(2분기)'!#REF!</definedName>
    <definedName name="은행코드" localSheetId="21">'[1]추산계좌(2분기)'!#REF!</definedName>
    <definedName name="은행코드" localSheetId="36">'[1]추산계좌(2분기)'!#REF!</definedName>
    <definedName name="은행코드" localSheetId="26">'[1]추산계좌(2분기)'!#REF!</definedName>
    <definedName name="은행코드" localSheetId="35">'[1]추산계좌(2분기)'!#REF!</definedName>
    <definedName name="은행코드" localSheetId="25">'[1]추산계좌(2분기)'!#REF!</definedName>
    <definedName name="은행코드" localSheetId="33">'[1]추산계좌(2분기)'!#REF!</definedName>
    <definedName name="은행코드" localSheetId="28">'[1]추산계좌(2분기)'!#REF!</definedName>
    <definedName name="은행코드" localSheetId="31">'[1]추산계좌(2분기)'!#REF!</definedName>
    <definedName name="은행코드" localSheetId="30">'[1]추산계좌(2분기)'!#REF!</definedName>
    <definedName name="은행코드" localSheetId="27">'[1]추산계좌(2분기)'!#REF!</definedName>
    <definedName name="은행코드" localSheetId="29">'[1]추산계좌(2분기)'!#REF!</definedName>
    <definedName name="은행코드" localSheetId="32">'[1]추산계좌(2분기)'!#REF!</definedName>
    <definedName name="은행코드" localSheetId="34">'[1]추산계좌(2분기)'!#REF!</definedName>
    <definedName name="은행코드" localSheetId="3">'[1]추산계좌(2분기)'!#REF!</definedName>
    <definedName name="은행코드" localSheetId="0">'[1]추산계좌(2분기)'!#REF!</definedName>
    <definedName name="은행코드">'[1]추산계좌(2분기)'!#REF!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3" i="33" l="1"/>
  <c r="N112" i="33"/>
  <c r="N111" i="33"/>
  <c r="N109" i="33"/>
  <c r="N108" i="33"/>
  <c r="N107" i="33"/>
  <c r="N71" i="33"/>
  <c r="N102" i="33"/>
  <c r="N100" i="33"/>
  <c r="N99" i="33"/>
  <c r="N97" i="33" s="1"/>
  <c r="N98" i="33"/>
  <c r="N96" i="33"/>
  <c r="N95" i="33"/>
  <c r="N94" i="33"/>
  <c r="N90" i="33"/>
  <c r="N104" i="33"/>
  <c r="N105" i="33"/>
  <c r="N103" i="33"/>
  <c r="N92" i="33"/>
  <c r="N91" i="33"/>
  <c r="N87" i="33"/>
  <c r="N86" i="33"/>
  <c r="N85" i="33"/>
  <c r="N83" i="33"/>
  <c r="N82" i="33"/>
  <c r="N75" i="33"/>
  <c r="N80" i="33"/>
  <c r="N79" i="33"/>
  <c r="N78" i="33"/>
  <c r="N74" i="33"/>
  <c r="N73" i="33" s="1"/>
  <c r="N422" i="29"/>
  <c r="N418" i="29"/>
  <c r="N417" i="29"/>
  <c r="N416" i="29"/>
  <c r="N404" i="29"/>
  <c r="N403" i="29"/>
  <c r="N372" i="29"/>
  <c r="N371" i="29"/>
  <c r="N363" i="29"/>
  <c r="N368" i="29"/>
  <c r="N367" i="29"/>
  <c r="N366" i="29"/>
  <c r="N365" i="29"/>
  <c r="N364" i="29" s="1"/>
  <c r="N327" i="29"/>
  <c r="N330" i="29"/>
  <c r="N329" i="29"/>
  <c r="N328" i="29"/>
  <c r="N323" i="29"/>
  <c r="N326" i="29"/>
  <c r="N325" i="29"/>
  <c r="N324" i="29"/>
  <c r="N358" i="29"/>
  <c r="N377" i="29"/>
  <c r="N376" i="29"/>
  <c r="N375" i="29"/>
  <c r="N374" i="29"/>
  <c r="N373" i="29" s="1"/>
  <c r="N355" i="29"/>
  <c r="N354" i="29"/>
  <c r="N353" i="29" s="1"/>
  <c r="N400" i="29"/>
  <c r="N399" i="29"/>
  <c r="N398" i="29"/>
  <c r="N414" i="29"/>
  <c r="N413" i="29"/>
  <c r="N412" i="29"/>
  <c r="N411" i="29"/>
  <c r="N410" i="29"/>
  <c r="N409" i="29"/>
  <c r="N408" i="29"/>
  <c r="N352" i="29"/>
  <c r="N351" i="29"/>
  <c r="N350" i="29"/>
  <c r="N349" i="29"/>
  <c r="N348" i="29"/>
  <c r="N347" i="29"/>
  <c r="N380" i="29"/>
  <c r="N379" i="29"/>
  <c r="N395" i="29"/>
  <c r="N396" i="29"/>
  <c r="N394" i="29"/>
  <c r="N393" i="29"/>
  <c r="N392" i="29"/>
  <c r="N391" i="29"/>
  <c r="N390" i="29"/>
  <c r="N389" i="29"/>
  <c r="N388" i="29"/>
  <c r="N387" i="29"/>
  <c r="N386" i="29"/>
  <c r="N385" i="29"/>
  <c r="N384" i="29"/>
  <c r="N383" i="29"/>
  <c r="N382" i="29"/>
  <c r="N381" i="29"/>
  <c r="N345" i="29"/>
  <c r="N344" i="29"/>
  <c r="N343" i="29"/>
  <c r="N342" i="29"/>
  <c r="N340" i="29"/>
  <c r="N339" i="29"/>
  <c r="N338" i="29"/>
  <c r="N337" i="29"/>
  <c r="N335" i="29"/>
  <c r="N334" i="29"/>
  <c r="N333" i="29"/>
  <c r="N322" i="29"/>
  <c r="N320" i="29"/>
  <c r="N321" i="29"/>
  <c r="N319" i="29"/>
  <c r="N317" i="29"/>
  <c r="N314" i="29"/>
  <c r="N313" i="29"/>
  <c r="N306" i="29"/>
  <c r="N307" i="29"/>
  <c r="N308" i="29"/>
  <c r="N309" i="29"/>
  <c r="N310" i="29"/>
  <c r="N311" i="29"/>
  <c r="N305" i="29"/>
  <c r="N316" i="29"/>
  <c r="N315" i="29"/>
  <c r="N312" i="29"/>
  <c r="N303" i="29"/>
  <c r="N302" i="29"/>
  <c r="N301" i="29"/>
  <c r="P224" i="15"/>
  <c r="P227" i="15"/>
  <c r="P228" i="15"/>
  <c r="P226" i="15"/>
  <c r="N110" i="33" l="1"/>
  <c r="N101" i="33"/>
  <c r="N106" i="33"/>
  <c r="N84" i="33"/>
  <c r="N89" i="33"/>
  <c r="N93" i="33"/>
  <c r="N77" i="33"/>
  <c r="N81" i="33"/>
  <c r="N378" i="29"/>
  <c r="N397" i="29"/>
  <c r="N346" i="29"/>
  <c r="N407" i="29"/>
  <c r="N336" i="29"/>
  <c r="N341" i="29"/>
  <c r="N318" i="29"/>
  <c r="N304" i="29"/>
  <c r="P213" i="15"/>
  <c r="Q269" i="41"/>
  <c r="P271" i="41"/>
  <c r="Q259" i="41"/>
  <c r="P274" i="41"/>
  <c r="P273" i="41"/>
  <c r="P272" i="41"/>
  <c r="P260" i="41"/>
  <c r="P262" i="41"/>
  <c r="V86" i="41"/>
  <c r="P175" i="41"/>
  <c r="P174" i="41"/>
  <c r="P173" i="41"/>
  <c r="P172" i="41" s="1"/>
  <c r="Q170" i="41" s="1"/>
  <c r="P179" i="41"/>
  <c r="P178" i="41"/>
  <c r="P169" i="41"/>
  <c r="P168" i="41"/>
  <c r="P164" i="41"/>
  <c r="P165" i="41"/>
  <c r="P162" i="41"/>
  <c r="P161" i="41"/>
  <c r="P160" i="41"/>
  <c r="P159" i="41" s="1"/>
  <c r="P157" i="41"/>
  <c r="P156" i="41"/>
  <c r="P155" i="41"/>
  <c r="P153" i="41"/>
  <c r="P152" i="41"/>
  <c r="P149" i="41"/>
  <c r="P148" i="41"/>
  <c r="P146" i="41"/>
  <c r="P145" i="41"/>
  <c r="P139" i="41"/>
  <c r="P140" i="41"/>
  <c r="P138" i="41"/>
  <c r="P137" i="41" s="1"/>
  <c r="P97" i="25"/>
  <c r="P98" i="25"/>
  <c r="P95" i="25"/>
  <c r="P96" i="25"/>
  <c r="P93" i="25"/>
  <c r="Q81" i="25" s="1"/>
  <c r="P83" i="25"/>
  <c r="P94" i="25"/>
  <c r="P90" i="25"/>
  <c r="P92" i="25"/>
  <c r="P91" i="25"/>
  <c r="P84" i="25"/>
  <c r="P89" i="25"/>
  <c r="P88" i="25"/>
  <c r="P87" i="25"/>
  <c r="P86" i="25"/>
  <c r="P85" i="25"/>
  <c r="P264" i="39"/>
  <c r="P267" i="39"/>
  <c r="P266" i="39"/>
  <c r="P265" i="39"/>
  <c r="P261" i="39"/>
  <c r="P260" i="39" s="1"/>
  <c r="P262" i="39"/>
  <c r="P258" i="39"/>
  <c r="P257" i="39"/>
  <c r="P259" i="39"/>
  <c r="P252" i="39"/>
  <c r="P254" i="39"/>
  <c r="P253" i="39"/>
  <c r="P250" i="39"/>
  <c r="P249" i="39"/>
  <c r="P248" i="39"/>
  <c r="P247" i="39" s="1"/>
  <c r="P165" i="39"/>
  <c r="P164" i="39" s="1"/>
  <c r="P163" i="39"/>
  <c r="P161" i="39"/>
  <c r="P159" i="39"/>
  <c r="P162" i="39"/>
  <c r="P160" i="39"/>
  <c r="P156" i="39"/>
  <c r="P155" i="39"/>
  <c r="P154" i="39"/>
  <c r="P153" i="39"/>
  <c r="P152" i="39"/>
  <c r="P149" i="39"/>
  <c r="P148" i="39"/>
  <c r="P145" i="39"/>
  <c r="P144" i="39"/>
  <c r="P143" i="39"/>
  <c r="P142" i="39" s="1"/>
  <c r="P141" i="39"/>
  <c r="P140" i="39"/>
  <c r="P139" i="39"/>
  <c r="P138" i="39" s="1"/>
  <c r="P135" i="39"/>
  <c r="P134" i="39"/>
  <c r="P133" i="39"/>
  <c r="P132" i="39"/>
  <c r="P130" i="39"/>
  <c r="P129" i="39" s="1"/>
  <c r="P127" i="39"/>
  <c r="P126" i="39"/>
  <c r="P125" i="39"/>
  <c r="P124" i="39"/>
  <c r="P123" i="39"/>
  <c r="P122" i="39"/>
  <c r="P121" i="39"/>
  <c r="P119" i="39"/>
  <c r="P118" i="39"/>
  <c r="P117" i="39"/>
  <c r="P116" i="39"/>
  <c r="P112" i="39"/>
  <c r="P114" i="39"/>
  <c r="P113" i="39"/>
  <c r="P109" i="39"/>
  <c r="P108" i="39"/>
  <c r="P107" i="39"/>
  <c r="P106" i="39"/>
  <c r="P101" i="39"/>
  <c r="P104" i="39"/>
  <c r="P103" i="39"/>
  <c r="P102" i="39"/>
  <c r="P99" i="39"/>
  <c r="P98" i="39"/>
  <c r="P97" i="39"/>
  <c r="P96" i="39"/>
  <c r="P93" i="39"/>
  <c r="P92" i="39"/>
  <c r="P91" i="39"/>
  <c r="P90" i="39"/>
  <c r="P84" i="39"/>
  <c r="P85" i="39"/>
  <c r="P86" i="39"/>
  <c r="P87" i="39"/>
  <c r="P88" i="39"/>
  <c r="R177" i="21"/>
  <c r="Q179" i="21"/>
  <c r="Q181" i="21"/>
  <c r="Q182" i="21"/>
  <c r="Q180" i="21"/>
  <c r="Q175" i="21"/>
  <c r="Q173" i="21"/>
  <c r="Q174" i="21"/>
  <c r="Q176" i="21"/>
  <c r="Q171" i="21" s="1"/>
  <c r="Q172" i="21"/>
  <c r="Q165" i="21"/>
  <c r="Q170" i="21"/>
  <c r="Q168" i="21"/>
  <c r="Q167" i="21"/>
  <c r="Q169" i="21"/>
  <c r="Q166" i="21"/>
  <c r="Q164" i="21"/>
  <c r="Q162" i="21"/>
  <c r="Q163" i="21"/>
  <c r="Q161" i="21"/>
  <c r="Q159" i="21" s="1"/>
  <c r="Q160" i="21"/>
  <c r="Q152" i="21"/>
  <c r="P128" i="39" l="1"/>
  <c r="P137" i="39"/>
  <c r="P256" i="39"/>
  <c r="P251" i="39"/>
  <c r="P158" i="39"/>
  <c r="P151" i="39"/>
  <c r="P147" i="39"/>
  <c r="P131" i="39"/>
  <c r="P120" i="39"/>
  <c r="P110" i="39" s="1"/>
  <c r="P115" i="39"/>
  <c r="P83" i="39"/>
  <c r="P105" i="39"/>
  <c r="P89" i="39"/>
  <c r="P111" i="39"/>
  <c r="P100" i="39"/>
  <c r="P95" i="39"/>
  <c r="P94" i="39" s="1"/>
  <c r="Q157" i="21"/>
  <c r="Q158" i="21"/>
  <c r="Q156" i="21"/>
  <c r="Q155" i="21"/>
  <c r="Q154" i="21"/>
  <c r="Q153" i="21"/>
  <c r="Q148" i="21"/>
  <c r="Q151" i="21"/>
  <c r="Q150" i="21"/>
  <c r="Q149" i="21"/>
  <c r="Q147" i="21"/>
  <c r="Q129" i="21"/>
  <c r="Q144" i="21"/>
  <c r="Q141" i="21"/>
  <c r="Q143" i="21"/>
  <c r="Q142" i="21"/>
  <c r="Q136" i="21"/>
  <c r="Q137" i="21"/>
  <c r="Q138" i="21"/>
  <c r="Q139" i="21"/>
  <c r="Q134" i="21" s="1"/>
  <c r="Q135" i="21"/>
  <c r="Q132" i="21"/>
  <c r="Q131" i="21"/>
  <c r="Q133" i="21"/>
  <c r="Q130" i="21"/>
  <c r="Q124" i="21"/>
  <c r="Q126" i="21"/>
  <c r="Q127" i="21"/>
  <c r="Q128" i="21"/>
  <c r="Q125" i="21"/>
  <c r="Q145" i="19"/>
  <c r="P154" i="19"/>
  <c r="P153" i="19" s="1"/>
  <c r="P149" i="19"/>
  <c r="P150" i="19"/>
  <c r="P151" i="19"/>
  <c r="P152" i="19"/>
  <c r="P148" i="19"/>
  <c r="P82" i="39" l="1"/>
  <c r="Q140" i="21"/>
  <c r="R122" i="21" s="1"/>
  <c r="P147" i="19"/>
  <c r="P144" i="19"/>
  <c r="P143" i="19"/>
  <c r="P142" i="19"/>
  <c r="P141" i="19"/>
  <c r="P140" i="19"/>
  <c r="P137" i="19"/>
  <c r="P138" i="19"/>
  <c r="P136" i="19"/>
  <c r="P135" i="19"/>
  <c r="P134" i="19"/>
  <c r="W131" i="19"/>
  <c r="P129" i="19"/>
  <c r="P128" i="19"/>
  <c r="P132" i="19"/>
  <c r="P131" i="19"/>
  <c r="P130" i="19"/>
  <c r="P124" i="19"/>
  <c r="P123" i="19"/>
  <c r="P122" i="19"/>
  <c r="P121" i="19"/>
  <c r="P114" i="19"/>
  <c r="P115" i="19"/>
  <c r="P116" i="19"/>
  <c r="P117" i="19"/>
  <c r="P118" i="19"/>
  <c r="P119" i="19"/>
  <c r="P113" i="19"/>
  <c r="P110" i="19"/>
  <c r="P111" i="19"/>
  <c r="P104" i="19"/>
  <c r="P108" i="19"/>
  <c r="P107" i="19"/>
  <c r="P106" i="19"/>
  <c r="P105" i="19"/>
  <c r="Y161" i="17"/>
  <c r="P232" i="15"/>
  <c r="P234" i="15"/>
  <c r="P233" i="15"/>
  <c r="P199" i="15"/>
  <c r="P200" i="15"/>
  <c r="P190" i="15"/>
  <c r="P191" i="15"/>
  <c r="W232" i="39"/>
  <c r="W231" i="39"/>
  <c r="V194" i="39"/>
  <c r="X72" i="19"/>
  <c r="P169" i="15"/>
  <c r="P167" i="15"/>
  <c r="P133" i="19" l="1"/>
  <c r="P103" i="19"/>
  <c r="P139" i="19"/>
  <c r="P109" i="19"/>
  <c r="P120" i="19"/>
  <c r="P112" i="19"/>
  <c r="P127" i="19"/>
  <c r="P197" i="15"/>
  <c r="Q23" i="32"/>
  <c r="Q24" i="32"/>
  <c r="U71" i="5" l="1"/>
  <c r="T71" i="5"/>
  <c r="S71" i="5"/>
  <c r="R71" i="5"/>
  <c r="V71" i="5" s="1"/>
  <c r="W71" i="5" s="1"/>
  <c r="U63" i="5"/>
  <c r="T63" i="5"/>
  <c r="S63" i="5"/>
  <c r="R63" i="5"/>
  <c r="V63" i="5" s="1"/>
  <c r="W63" i="5" s="1"/>
  <c r="W9" i="32" l="1"/>
  <c r="V9" i="32"/>
  <c r="V43" i="5"/>
  <c r="T44" i="5"/>
  <c r="V30" i="5" l="1"/>
  <c r="W30" i="5"/>
  <c r="V31" i="5"/>
  <c r="W31" i="5"/>
  <c r="V32" i="5"/>
  <c r="V33" i="5"/>
  <c r="V34" i="5"/>
  <c r="T30" i="5"/>
  <c r="T31" i="5"/>
  <c r="T29" i="5" s="1"/>
  <c r="T33" i="5"/>
  <c r="R34" i="5"/>
  <c r="R33" i="5"/>
  <c r="R31" i="5"/>
  <c r="R30" i="5"/>
  <c r="V23" i="5"/>
  <c r="V24" i="5"/>
  <c r="V28" i="5"/>
  <c r="W8" i="5"/>
  <c r="W14" i="5"/>
  <c r="W15" i="5"/>
  <c r="W16" i="5"/>
  <c r="W17" i="5"/>
  <c r="V19" i="5"/>
  <c r="V18" i="5"/>
  <c r="V17" i="5"/>
  <c r="V16" i="5"/>
  <c r="V15" i="5"/>
  <c r="V14" i="5"/>
  <c r="D81" i="5"/>
  <c r="T10" i="5" s="1"/>
  <c r="V8" i="5"/>
  <c r="V9" i="5"/>
  <c r="V13" i="5"/>
  <c r="U16" i="5"/>
  <c r="U17" i="5"/>
  <c r="U18" i="5"/>
  <c r="U19" i="5"/>
  <c r="U15" i="5"/>
  <c r="S16" i="5"/>
  <c r="S17" i="5"/>
  <c r="S18" i="5"/>
  <c r="S19" i="5"/>
  <c r="S15" i="5"/>
  <c r="T14" i="5"/>
  <c r="T15" i="5"/>
  <c r="T16" i="5"/>
  <c r="T17" i="5"/>
  <c r="T18" i="5"/>
  <c r="T19" i="5"/>
  <c r="R14" i="5"/>
  <c r="R19" i="5"/>
  <c r="R18" i="5"/>
  <c r="R17" i="5"/>
  <c r="R16" i="5"/>
  <c r="R15" i="5"/>
  <c r="R29" i="5" l="1"/>
  <c r="V29" i="5" s="1"/>
  <c r="W29" i="5" s="1"/>
  <c r="B68" i="2" l="1"/>
  <c r="B19" i="6" s="1"/>
  <c r="D34" i="4" l="1"/>
  <c r="K90" i="5"/>
  <c r="I90" i="5"/>
  <c r="M90" i="5" s="1"/>
  <c r="K52" i="5"/>
  <c r="K42" i="5"/>
  <c r="K29" i="5"/>
  <c r="K16" i="5"/>
  <c r="D90" i="5" l="1"/>
  <c r="D89" i="5" s="1"/>
  <c r="B90" i="5"/>
  <c r="B89" i="5" s="1"/>
  <c r="D87" i="5"/>
  <c r="D88" i="5"/>
  <c r="D86" i="5"/>
  <c r="D85" i="5"/>
  <c r="D84" i="5"/>
  <c r="D83" i="5"/>
  <c r="B87" i="5"/>
  <c r="F87" i="5" s="1"/>
  <c r="B88" i="5"/>
  <c r="B86" i="5"/>
  <c r="F86" i="5" s="1"/>
  <c r="G86" i="5" s="1"/>
  <c r="B85" i="5"/>
  <c r="F85" i="5" s="1"/>
  <c r="G85" i="5" s="1"/>
  <c r="B84" i="5"/>
  <c r="F84" i="5" s="1"/>
  <c r="G84" i="5" s="1"/>
  <c r="B83" i="5"/>
  <c r="D78" i="5"/>
  <c r="D79" i="5"/>
  <c r="T40" i="5" s="1"/>
  <c r="D80" i="5"/>
  <c r="T25" i="5" s="1"/>
  <c r="D77" i="5"/>
  <c r="D76" i="5"/>
  <c r="B78" i="5"/>
  <c r="B79" i="5"/>
  <c r="R40" i="5" s="1"/>
  <c r="B80" i="5"/>
  <c r="B81" i="5"/>
  <c r="B77" i="5"/>
  <c r="B76" i="5"/>
  <c r="D71" i="5"/>
  <c r="D72" i="5"/>
  <c r="D73" i="5"/>
  <c r="D74" i="5"/>
  <c r="T39" i="5" s="1"/>
  <c r="D70" i="5"/>
  <c r="D69" i="5"/>
  <c r="B71" i="5"/>
  <c r="F71" i="5" s="1"/>
  <c r="G71" i="5" s="1"/>
  <c r="B72" i="5"/>
  <c r="B73" i="5"/>
  <c r="B74" i="5"/>
  <c r="R39" i="5" s="1"/>
  <c r="B70" i="5"/>
  <c r="F70" i="5" s="1"/>
  <c r="G70" i="5" s="1"/>
  <c r="B69" i="5"/>
  <c r="F66" i="5"/>
  <c r="G66" i="5" s="1"/>
  <c r="D62" i="5"/>
  <c r="D63" i="5"/>
  <c r="D64" i="5"/>
  <c r="D65" i="5"/>
  <c r="D66" i="5"/>
  <c r="D67" i="5"/>
  <c r="T38" i="5" s="1"/>
  <c r="D61" i="5"/>
  <c r="D60" i="5"/>
  <c r="B62" i="5"/>
  <c r="F62" i="5" s="1"/>
  <c r="G62" i="5" s="1"/>
  <c r="B63" i="5"/>
  <c r="F63" i="5" s="1"/>
  <c r="G63" i="5" s="1"/>
  <c r="B64" i="5"/>
  <c r="F64" i="5" s="1"/>
  <c r="B65" i="5"/>
  <c r="F65" i="5" s="1"/>
  <c r="G65" i="5" s="1"/>
  <c r="B66" i="5"/>
  <c r="B67" i="5"/>
  <c r="B61" i="5"/>
  <c r="F61" i="5" s="1"/>
  <c r="G61" i="5" s="1"/>
  <c r="B60" i="5"/>
  <c r="F60" i="5" s="1"/>
  <c r="G60" i="5" s="1"/>
  <c r="D43" i="5"/>
  <c r="B43" i="5"/>
  <c r="B42" i="5" s="1"/>
  <c r="B41" i="5"/>
  <c r="D30" i="5"/>
  <c r="D31" i="5"/>
  <c r="D32" i="5"/>
  <c r="D33" i="5"/>
  <c r="D34" i="5"/>
  <c r="D35" i="5"/>
  <c r="D36" i="5"/>
  <c r="D37" i="5"/>
  <c r="T41" i="5" s="1"/>
  <c r="D38" i="5"/>
  <c r="T26" i="5" s="1"/>
  <c r="D39" i="5"/>
  <c r="T11" i="5" s="1"/>
  <c r="D29" i="5"/>
  <c r="D28" i="5"/>
  <c r="B30" i="5"/>
  <c r="F30" i="5" s="1"/>
  <c r="B31" i="5"/>
  <c r="F31" i="5" s="1"/>
  <c r="G31" i="5" s="1"/>
  <c r="B32" i="5"/>
  <c r="F32" i="5" s="1"/>
  <c r="G32" i="5" s="1"/>
  <c r="B33" i="5"/>
  <c r="F33" i="5" s="1"/>
  <c r="G33" i="5" s="1"/>
  <c r="B34" i="5"/>
  <c r="F34" i="5" s="1"/>
  <c r="B35" i="5"/>
  <c r="F35" i="5" s="1"/>
  <c r="G35" i="5" s="1"/>
  <c r="B36" i="5"/>
  <c r="F36" i="5" s="1"/>
  <c r="B37" i="5"/>
  <c r="B38" i="5"/>
  <c r="B39" i="5"/>
  <c r="B29" i="5"/>
  <c r="F29" i="5" s="1"/>
  <c r="G29" i="5" s="1"/>
  <c r="B28" i="5"/>
  <c r="F28" i="5" s="1"/>
  <c r="G28" i="5" s="1"/>
  <c r="D20" i="5"/>
  <c r="D21" i="5"/>
  <c r="D22" i="5"/>
  <c r="D23" i="5"/>
  <c r="D24" i="5"/>
  <c r="T42" i="5" s="1"/>
  <c r="D25" i="5"/>
  <c r="T27" i="5" s="1"/>
  <c r="D26" i="5"/>
  <c r="D19" i="5"/>
  <c r="D18" i="5"/>
  <c r="B20" i="5"/>
  <c r="F20" i="5" s="1"/>
  <c r="B21" i="5"/>
  <c r="B22" i="5"/>
  <c r="B23" i="5"/>
  <c r="B24" i="5"/>
  <c r="R42" i="5" s="1"/>
  <c r="B25" i="5"/>
  <c r="B26" i="5"/>
  <c r="R12" i="5" s="1"/>
  <c r="B19" i="5"/>
  <c r="F19" i="5" s="1"/>
  <c r="B18" i="5"/>
  <c r="F18" i="5" s="1"/>
  <c r="G18" i="5" s="1"/>
  <c r="D12" i="5"/>
  <c r="D13" i="5"/>
  <c r="D14" i="5"/>
  <c r="D15" i="5"/>
  <c r="D16" i="5"/>
  <c r="D11" i="5"/>
  <c r="D10" i="5"/>
  <c r="B12" i="5"/>
  <c r="F12" i="5" s="1"/>
  <c r="G12" i="5" s="1"/>
  <c r="B13" i="5"/>
  <c r="B14" i="5"/>
  <c r="B15" i="5"/>
  <c r="B16" i="5"/>
  <c r="F16" i="5" s="1"/>
  <c r="B11" i="5"/>
  <c r="B10" i="5"/>
  <c r="D42" i="5"/>
  <c r="D40" i="5"/>
  <c r="D61" i="2"/>
  <c r="L30" i="2" s="1"/>
  <c r="B61" i="2"/>
  <c r="J30" i="2" s="1"/>
  <c r="M30" i="2" s="1"/>
  <c r="F79" i="5" l="1"/>
  <c r="G79" i="5" s="1"/>
  <c r="F24" i="5"/>
  <c r="G24" i="5" s="1"/>
  <c r="F69" i="5"/>
  <c r="G69" i="5" s="1"/>
  <c r="F72" i="5"/>
  <c r="F83" i="5"/>
  <c r="G83" i="5" s="1"/>
  <c r="F88" i="5"/>
  <c r="F21" i="5"/>
  <c r="F73" i="5"/>
  <c r="G73" i="5" s="1"/>
  <c r="F74" i="5"/>
  <c r="G74" i="5" s="1"/>
  <c r="F80" i="5"/>
  <c r="G80" i="5" s="1"/>
  <c r="R25" i="5"/>
  <c r="V25" i="5" s="1"/>
  <c r="W25" i="5" s="1"/>
  <c r="V39" i="5"/>
  <c r="W39" i="5" s="1"/>
  <c r="F76" i="5"/>
  <c r="G76" i="5" s="1"/>
  <c r="V40" i="5"/>
  <c r="W40" i="5" s="1"/>
  <c r="F81" i="5"/>
  <c r="R10" i="5"/>
  <c r="V10" i="5" s="1"/>
  <c r="F67" i="5"/>
  <c r="G67" i="5" s="1"/>
  <c r="R38" i="5"/>
  <c r="V38" i="5" s="1"/>
  <c r="W38" i="5" s="1"/>
  <c r="F77" i="5"/>
  <c r="F78" i="5"/>
  <c r="G78" i="5" s="1"/>
  <c r="F37" i="5"/>
  <c r="R41" i="5"/>
  <c r="V41" i="5" s="1"/>
  <c r="D27" i="5"/>
  <c r="F38" i="5"/>
  <c r="R26" i="5"/>
  <c r="V26" i="5" s="1"/>
  <c r="B40" i="5"/>
  <c r="R44" i="5"/>
  <c r="V44" i="5" s="1"/>
  <c r="W44" i="5" s="1"/>
  <c r="F39" i="5"/>
  <c r="R11" i="5"/>
  <c r="V11" i="5" s="1"/>
  <c r="F25" i="5"/>
  <c r="G25" i="5" s="1"/>
  <c r="R27" i="5"/>
  <c r="B9" i="5"/>
  <c r="F9" i="5" s="1"/>
  <c r="G9" i="5" s="1"/>
  <c r="F11" i="5"/>
  <c r="G11" i="5" s="1"/>
  <c r="F13" i="5"/>
  <c r="G13" i="5" s="1"/>
  <c r="F23" i="5"/>
  <c r="G23" i="5" s="1"/>
  <c r="T37" i="5"/>
  <c r="F26" i="5"/>
  <c r="G26" i="5" s="1"/>
  <c r="T12" i="5"/>
  <c r="T7" i="5" s="1"/>
  <c r="F14" i="5"/>
  <c r="G14" i="5" s="1"/>
  <c r="R37" i="5"/>
  <c r="V42" i="5"/>
  <c r="W42" i="5" s="1"/>
  <c r="T22" i="5"/>
  <c r="F15" i="5"/>
  <c r="G15" i="5" s="1"/>
  <c r="V12" i="5"/>
  <c r="W12" i="5" s="1"/>
  <c r="F22" i="5"/>
  <c r="G22" i="5" s="1"/>
  <c r="F90" i="5"/>
  <c r="G90" i="5" s="1"/>
  <c r="D68" i="5"/>
  <c r="F10" i="5"/>
  <c r="G10" i="5" s="1"/>
  <c r="F43" i="5"/>
  <c r="G43" i="5" s="1"/>
  <c r="F40" i="5"/>
  <c r="G40" i="5" s="1"/>
  <c r="F41" i="5"/>
  <c r="G41" i="5" s="1"/>
  <c r="D59" i="5"/>
  <c r="B68" i="5"/>
  <c r="F68" i="5" s="1"/>
  <c r="G68" i="5" s="1"/>
  <c r="D75" i="5"/>
  <c r="F89" i="5"/>
  <c r="G89" i="5" s="1"/>
  <c r="D82" i="5"/>
  <c r="B82" i="5"/>
  <c r="B75" i="5"/>
  <c r="F75" i="5" s="1"/>
  <c r="G75" i="5" s="1"/>
  <c r="B59" i="5"/>
  <c r="F42" i="5"/>
  <c r="G42" i="5" s="1"/>
  <c r="B27" i="5"/>
  <c r="F27" i="5" s="1"/>
  <c r="G27" i="5" s="1"/>
  <c r="D17" i="5"/>
  <c r="B17" i="5"/>
  <c r="D9" i="5"/>
  <c r="P16" i="37"/>
  <c r="F82" i="5" l="1"/>
  <c r="G82" i="5" s="1"/>
  <c r="R7" i="5"/>
  <c r="S10" i="5" s="1"/>
  <c r="U28" i="5"/>
  <c r="U33" i="5"/>
  <c r="U26" i="5"/>
  <c r="U29" i="5"/>
  <c r="U34" i="5"/>
  <c r="U30" i="5"/>
  <c r="U31" i="5"/>
  <c r="U25" i="5"/>
  <c r="U32" i="5"/>
  <c r="S40" i="5"/>
  <c r="S44" i="5"/>
  <c r="S41" i="5"/>
  <c r="S38" i="5"/>
  <c r="S39" i="5"/>
  <c r="S43" i="5"/>
  <c r="V37" i="5"/>
  <c r="W37" i="5" s="1"/>
  <c r="U40" i="5"/>
  <c r="U44" i="5"/>
  <c r="U41" i="5"/>
  <c r="U38" i="5"/>
  <c r="U39" i="5"/>
  <c r="U43" i="5"/>
  <c r="U27" i="5"/>
  <c r="U42" i="5"/>
  <c r="S42" i="5"/>
  <c r="V7" i="5"/>
  <c r="W7" i="5" s="1"/>
  <c r="R22" i="5"/>
  <c r="V27" i="5"/>
  <c r="W27" i="5" s="1"/>
  <c r="F59" i="5"/>
  <c r="G59" i="5" s="1"/>
  <c r="D58" i="5"/>
  <c r="D8" i="5"/>
  <c r="B58" i="5"/>
  <c r="F17" i="5"/>
  <c r="G17" i="5" s="1"/>
  <c r="Q226" i="31"/>
  <c r="P65" i="41"/>
  <c r="S12" i="5" l="1"/>
  <c r="D7" i="5"/>
  <c r="E90" i="5" s="1"/>
  <c r="S32" i="5"/>
  <c r="S26" i="5"/>
  <c r="S31" i="5"/>
  <c r="S33" i="5"/>
  <c r="S25" i="5"/>
  <c r="S30" i="5"/>
  <c r="S34" i="5"/>
  <c r="S28" i="5"/>
  <c r="V22" i="5"/>
  <c r="W22" i="5" s="1"/>
  <c r="S27" i="5"/>
  <c r="U37" i="5"/>
  <c r="S37" i="5"/>
  <c r="F58" i="5"/>
  <c r="G58" i="5" s="1"/>
  <c r="E87" i="5"/>
  <c r="E76" i="5"/>
  <c r="E43" i="5"/>
  <c r="E66" i="5"/>
  <c r="E32" i="5"/>
  <c r="E18" i="5"/>
  <c r="E13" i="5"/>
  <c r="E89" i="5"/>
  <c r="E40" i="5"/>
  <c r="T48" i="4"/>
  <c r="N48" i="4"/>
  <c r="N116" i="33"/>
  <c r="N115" i="33"/>
  <c r="N70" i="33"/>
  <c r="N69" i="33" s="1"/>
  <c r="N68" i="33"/>
  <c r="N67" i="33" s="1"/>
  <c r="N64" i="33"/>
  <c r="N65" i="33"/>
  <c r="N66" i="33"/>
  <c r="N63" i="33"/>
  <c r="S125" i="17"/>
  <c r="O10" i="30"/>
  <c r="P40" i="40"/>
  <c r="O29" i="24"/>
  <c r="G9" i="1"/>
  <c r="G8" i="1"/>
  <c r="G7" i="1"/>
  <c r="G6" i="1"/>
  <c r="F6" i="1"/>
  <c r="F7" i="1"/>
  <c r="N114" i="33" l="1"/>
  <c r="E8" i="5"/>
  <c r="E25" i="5"/>
  <c r="E41" i="5"/>
  <c r="E70" i="5"/>
  <c r="E15" i="5"/>
  <c r="E37" i="5"/>
  <c r="E61" i="5"/>
  <c r="E81" i="5"/>
  <c r="E9" i="5"/>
  <c r="E27" i="5"/>
  <c r="E82" i="5"/>
  <c r="E10" i="5"/>
  <c r="E17" i="5"/>
  <c r="E21" i="5"/>
  <c r="E24" i="5"/>
  <c r="E33" i="5"/>
  <c r="E39" i="5"/>
  <c r="E38" i="5"/>
  <c r="E62" i="5"/>
  <c r="E64" i="5"/>
  <c r="E73" i="5"/>
  <c r="E71" i="5"/>
  <c r="E79" i="5"/>
  <c r="E83" i="5"/>
  <c r="E85" i="5"/>
  <c r="E42" i="5"/>
  <c r="E75" i="5"/>
  <c r="E16" i="5"/>
  <c r="E14" i="5"/>
  <c r="E19" i="5"/>
  <c r="E23" i="5"/>
  <c r="E20" i="5"/>
  <c r="E29" i="5"/>
  <c r="E35" i="5"/>
  <c r="E34" i="5"/>
  <c r="E60" i="5"/>
  <c r="E67" i="5"/>
  <c r="E69" i="5"/>
  <c r="E74" i="5"/>
  <c r="E77" i="5"/>
  <c r="E88" i="5"/>
  <c r="E86" i="5"/>
  <c r="E58" i="5"/>
  <c r="E59" i="5"/>
  <c r="E68" i="5"/>
  <c r="E12" i="5"/>
  <c r="E11" i="5"/>
  <c r="E26" i="5"/>
  <c r="E22" i="5"/>
  <c r="E28" i="5"/>
  <c r="E36" i="5"/>
  <c r="E31" i="5"/>
  <c r="E30" i="5"/>
  <c r="E65" i="5"/>
  <c r="E63" i="5"/>
  <c r="E72" i="5"/>
  <c r="E80" i="5"/>
  <c r="E78" i="5"/>
  <c r="E84" i="5"/>
  <c r="E7" i="5"/>
  <c r="N62" i="33"/>
  <c r="R9" i="15"/>
  <c r="D46" i="4" l="1"/>
  <c r="K46" i="5" l="1"/>
  <c r="T49" i="4"/>
  <c r="R55" i="37"/>
  <c r="R54" i="37"/>
  <c r="W244" i="41" l="1"/>
  <c r="X242" i="17"/>
  <c r="T44" i="4" l="1"/>
  <c r="S44" i="4"/>
  <c r="V44" i="4" l="1"/>
  <c r="X178" i="17"/>
  <c r="D67" i="4" s="1"/>
  <c r="K67" i="5" s="1"/>
  <c r="X179" i="17"/>
  <c r="P31" i="33" l="1"/>
  <c r="N39" i="33" l="1"/>
  <c r="N38" i="33" s="1"/>
  <c r="O37" i="33" s="1"/>
  <c r="Q37" i="33" s="1"/>
  <c r="R37" i="33" s="1"/>
  <c r="N42" i="33"/>
  <c r="S121" i="21" l="1"/>
  <c r="Y13" i="21" l="1"/>
  <c r="W12" i="19"/>
  <c r="Q137" i="31" l="1"/>
  <c r="V12" i="33"/>
  <c r="O58" i="33"/>
  <c r="Q58" i="33" s="1"/>
  <c r="R58" i="33" s="1"/>
  <c r="V11" i="39"/>
  <c r="I5" i="6" l="1"/>
  <c r="Q57" i="35" l="1"/>
  <c r="Q7" i="34" l="1"/>
  <c r="Q6" i="34" s="1"/>
  <c r="S12" i="36" l="1"/>
  <c r="S6" i="36"/>
  <c r="Q6" i="36"/>
  <c r="Q5" i="36" s="1"/>
  <c r="Q7" i="36"/>
  <c r="Q17" i="36"/>
  <c r="N188" i="29" l="1"/>
  <c r="N187" i="29"/>
  <c r="N186" i="29"/>
  <c r="N185" i="29"/>
  <c r="N184" i="29"/>
  <c r="N183" i="29"/>
  <c r="N182" i="29"/>
  <c r="N181" i="29"/>
  <c r="N180" i="29" l="1"/>
  <c r="O179" i="29" s="1"/>
  <c r="B7" i="3"/>
  <c r="C7" i="3" s="1"/>
  <c r="D7" i="3"/>
  <c r="E7" i="3"/>
  <c r="F7" i="3"/>
  <c r="G7" i="3" s="1"/>
  <c r="E8" i="3"/>
  <c r="F8" i="3"/>
  <c r="G8" i="3" s="1"/>
  <c r="E9" i="3"/>
  <c r="F9" i="3"/>
  <c r="G9" i="3" s="1"/>
  <c r="E10" i="3"/>
  <c r="F10" i="3"/>
  <c r="G10" i="3" s="1"/>
  <c r="E11" i="3"/>
  <c r="F11" i="3"/>
  <c r="G11" i="3" s="1"/>
  <c r="E12" i="3"/>
  <c r="F12" i="3"/>
  <c r="G12" i="3" s="1"/>
  <c r="E13" i="3"/>
  <c r="F13" i="3"/>
  <c r="G13" i="3" s="1"/>
  <c r="E14" i="3"/>
  <c r="F14" i="3"/>
  <c r="E15" i="3"/>
  <c r="F15" i="3"/>
  <c r="G15" i="3"/>
  <c r="E16" i="3"/>
  <c r="F16" i="3"/>
  <c r="G16" i="3"/>
  <c r="E17" i="3"/>
  <c r="F17" i="3"/>
  <c r="G17" i="3"/>
  <c r="E18" i="3"/>
  <c r="F18" i="3"/>
  <c r="G18" i="3"/>
  <c r="E19" i="3"/>
  <c r="F19" i="3"/>
  <c r="G19" i="3"/>
  <c r="O11" i="30"/>
  <c r="P221" i="31"/>
  <c r="N435" i="29"/>
  <c r="N443" i="29"/>
  <c r="P233" i="41"/>
  <c r="P232" i="41"/>
  <c r="P231" i="41"/>
  <c r="P227" i="41"/>
  <c r="P226" i="41"/>
  <c r="P89" i="41"/>
  <c r="P176" i="39"/>
  <c r="P173" i="39"/>
  <c r="P226" i="17"/>
  <c r="P221" i="17"/>
  <c r="P222" i="17"/>
  <c r="P194" i="17"/>
  <c r="P184" i="17"/>
  <c r="P180" i="17"/>
  <c r="P177" i="17"/>
  <c r="P99" i="17"/>
  <c r="P93" i="17"/>
  <c r="P83" i="17"/>
  <c r="P240" i="15"/>
  <c r="P183" i="15"/>
  <c r="P171" i="15"/>
  <c r="P143" i="15"/>
  <c r="P142" i="15"/>
  <c r="P139" i="15"/>
  <c r="P138" i="15"/>
  <c r="P136" i="15"/>
  <c r="P135" i="15"/>
  <c r="P129" i="15"/>
  <c r="P125" i="15"/>
  <c r="P123" i="15"/>
  <c r="P122" i="15"/>
  <c r="P111" i="15"/>
  <c r="P108" i="15"/>
  <c r="P107" i="15"/>
  <c r="P106" i="15"/>
  <c r="P105" i="15"/>
  <c r="P102" i="15"/>
  <c r="P101" i="15"/>
  <c r="P100" i="15"/>
  <c r="P99" i="15"/>
  <c r="P97" i="15"/>
  <c r="P94" i="15"/>
  <c r="P91" i="15"/>
  <c r="P89" i="15"/>
  <c r="P87" i="15"/>
  <c r="P85" i="15"/>
  <c r="P84" i="15"/>
  <c r="P81" i="15"/>
  <c r="P78" i="15"/>
  <c r="P76" i="15"/>
  <c r="P74" i="15"/>
  <c r="P72" i="15"/>
  <c r="P69" i="15"/>
  <c r="P68" i="15"/>
  <c r="P60" i="15"/>
  <c r="T20" i="31"/>
  <c r="C14" i="3" l="1"/>
  <c r="C13" i="3"/>
  <c r="C12" i="3"/>
  <c r="C11" i="3"/>
  <c r="C10" i="3"/>
  <c r="C9" i="3"/>
  <c r="C8" i="3"/>
  <c r="C19" i="3"/>
  <c r="C18" i="3"/>
  <c r="C17" i="3"/>
  <c r="C16" i="3"/>
  <c r="C15" i="3"/>
  <c r="P218" i="31" l="1"/>
  <c r="P216" i="31" l="1"/>
  <c r="Q215" i="31" s="1"/>
  <c r="P165" i="31"/>
  <c r="Q164" i="31"/>
  <c r="P77" i="37"/>
  <c r="P72" i="37"/>
  <c r="P69" i="37"/>
  <c r="P64" i="37"/>
  <c r="P63" i="37"/>
  <c r="P61" i="37"/>
  <c r="P60" i="37"/>
  <c r="P59" i="37"/>
  <c r="P58" i="37"/>
  <c r="T108" i="31"/>
  <c r="Q125" i="19"/>
  <c r="O16" i="18"/>
  <c r="Q7" i="18"/>
  <c r="O10" i="24"/>
  <c r="P9" i="24" s="1"/>
  <c r="P8" i="24" s="1"/>
  <c r="P7" i="24" s="1"/>
  <c r="O15" i="24"/>
  <c r="O14" i="24" s="1"/>
  <c r="P13" i="24" s="1"/>
  <c r="P12" i="24" s="1"/>
  <c r="O23" i="24"/>
  <c r="P28" i="20"/>
  <c r="P29" i="20"/>
  <c r="P30" i="20"/>
  <c r="P31" i="20"/>
  <c r="P24" i="20"/>
  <c r="P25" i="20"/>
  <c r="P18" i="20"/>
  <c r="P13" i="20"/>
  <c r="P9" i="20"/>
  <c r="O61" i="33" l="1"/>
  <c r="P44" i="19" l="1"/>
  <c r="P43" i="19" s="1"/>
  <c r="P12" i="19"/>
  <c r="P11" i="19"/>
  <c r="P38" i="19"/>
  <c r="P37" i="19" s="1"/>
  <c r="P36" i="19"/>
  <c r="P35" i="19"/>
  <c r="P33" i="19"/>
  <c r="P32" i="19"/>
  <c r="P31" i="19"/>
  <c r="P29" i="19"/>
  <c r="P28" i="19"/>
  <c r="P26" i="19"/>
  <c r="P25" i="19" s="1"/>
  <c r="P24" i="19"/>
  <c r="P23" i="19" s="1"/>
  <c r="P22" i="19"/>
  <c r="P21" i="19" s="1"/>
  <c r="P20" i="19"/>
  <c r="P19" i="19"/>
  <c r="P18" i="19"/>
  <c r="P16" i="19"/>
  <c r="P15" i="19"/>
  <c r="P41" i="19"/>
  <c r="P14" i="19" l="1"/>
  <c r="P27" i="19"/>
  <c r="P10" i="19"/>
  <c r="P34" i="19"/>
  <c r="P17" i="19"/>
  <c r="P30" i="19"/>
  <c r="N170" i="29"/>
  <c r="N169" i="29"/>
  <c r="N421" i="29"/>
  <c r="N420" i="29" s="1"/>
  <c r="N419" i="29"/>
  <c r="N415" i="29" s="1"/>
  <c r="N406" i="29"/>
  <c r="N405" i="29" s="1"/>
  <c r="N402" i="29"/>
  <c r="N401" i="29" s="1"/>
  <c r="N370" i="29"/>
  <c r="N369" i="29" s="1"/>
  <c r="N362" i="29"/>
  <c r="N361" i="29" s="1"/>
  <c r="N360" i="29"/>
  <c r="N359" i="29" s="1"/>
  <c r="N357" i="29"/>
  <c r="N356" i="29" s="1"/>
  <c r="N332" i="29"/>
  <c r="N331" i="29" s="1"/>
  <c r="N300" i="29"/>
  <c r="N299" i="29" s="1"/>
  <c r="N298" i="29"/>
  <c r="N297" i="29"/>
  <c r="N296" i="29"/>
  <c r="N295" i="29"/>
  <c r="N293" i="29"/>
  <c r="N292" i="29" s="1"/>
  <c r="N291" i="29"/>
  <c r="N290" i="29"/>
  <c r="N289" i="29"/>
  <c r="N287" i="29"/>
  <c r="N286" i="29"/>
  <c r="N285" i="29"/>
  <c r="N432" i="29"/>
  <c r="N431" i="29" s="1"/>
  <c r="N438" i="29"/>
  <c r="N437" i="29"/>
  <c r="N436" i="29"/>
  <c r="N166" i="29"/>
  <c r="N165" i="29"/>
  <c r="N106" i="29"/>
  <c r="N105" i="29"/>
  <c r="N104" i="29"/>
  <c r="N102" i="29"/>
  <c r="N101" i="29"/>
  <c r="N100" i="29"/>
  <c r="N99" i="29"/>
  <c r="N98" i="29"/>
  <c r="N164" i="29" l="1"/>
  <c r="O163" i="29" s="1"/>
  <c r="N284" i="29"/>
  <c r="N288" i="29"/>
  <c r="N434" i="29"/>
  <c r="N168" i="29"/>
  <c r="N103" i="29"/>
  <c r="N294" i="29"/>
  <c r="N97" i="29"/>
  <c r="O283" i="29" l="1"/>
  <c r="Q283" i="29" s="1"/>
  <c r="O96" i="29"/>
  <c r="U22" i="4"/>
  <c r="V22" i="4"/>
  <c r="D43" i="2"/>
  <c r="X47" i="19"/>
  <c r="D31" i="4" l="1"/>
  <c r="K31" i="5" s="1"/>
  <c r="Y50" i="21"/>
  <c r="D51" i="4" s="1"/>
  <c r="K51" i="5" s="1"/>
  <c r="X45" i="19"/>
  <c r="D50" i="4" s="1"/>
  <c r="K50" i="5" s="1"/>
  <c r="X51" i="17"/>
  <c r="D49" i="4" s="1"/>
  <c r="K49" i="5" s="1"/>
  <c r="Y185" i="21"/>
  <c r="S184" i="21"/>
  <c r="T190" i="21"/>
  <c r="U190" i="21" s="1"/>
  <c r="R189" i="21"/>
  <c r="T189" i="21" s="1"/>
  <c r="U189" i="21" s="1"/>
  <c r="D12" i="4"/>
  <c r="K12" i="5" s="1"/>
  <c r="D6" i="1"/>
  <c r="D70" i="2"/>
  <c r="D28" i="2"/>
  <c r="D10" i="2"/>
  <c r="X44" i="19" l="1"/>
  <c r="D25" i="4" s="1"/>
  <c r="K25" i="5" s="1"/>
  <c r="K11" i="2"/>
  <c r="X169" i="39" l="1"/>
  <c r="R100" i="19"/>
  <c r="D38" i="4" s="1"/>
  <c r="K38" i="5" s="1"/>
  <c r="R174" i="17"/>
  <c r="R173" i="17" s="1"/>
  <c r="R8" i="17"/>
  <c r="T40" i="4" l="1"/>
  <c r="D76" i="4"/>
  <c r="K76" i="5" s="1"/>
  <c r="X170" i="39"/>
  <c r="X171" i="39" s="1"/>
  <c r="D92" i="4"/>
  <c r="K92" i="5" s="1"/>
  <c r="D82" i="4"/>
  <c r="K82" i="5" s="1"/>
  <c r="B82" i="4"/>
  <c r="I82" i="5" s="1"/>
  <c r="D81" i="4"/>
  <c r="K81" i="5" s="1"/>
  <c r="D80" i="4"/>
  <c r="K80" i="5" s="1"/>
  <c r="F90" i="4"/>
  <c r="X73" i="35"/>
  <c r="D75" i="4" s="1"/>
  <c r="K75" i="5" s="1"/>
  <c r="D73" i="4"/>
  <c r="K73" i="5" s="1"/>
  <c r="B73" i="4"/>
  <c r="I73" i="5" s="1"/>
  <c r="X211" i="31"/>
  <c r="W211" i="31"/>
  <c r="X184" i="41"/>
  <c r="D79" i="4" s="1"/>
  <c r="K79" i="5" s="1"/>
  <c r="X183" i="41"/>
  <c r="D71" i="4" s="1"/>
  <c r="K71" i="5" s="1"/>
  <c r="D70" i="4"/>
  <c r="K70" i="5" s="1"/>
  <c r="D69" i="4"/>
  <c r="K69" i="5" s="1"/>
  <c r="D68" i="4"/>
  <c r="K68" i="5" s="1"/>
  <c r="D78" i="4"/>
  <c r="K78" i="5" s="1"/>
  <c r="K77" i="5" l="1"/>
  <c r="M73" i="5"/>
  <c r="N73" i="5" s="1"/>
  <c r="M82" i="5"/>
  <c r="N82" i="5" s="1"/>
  <c r="D65" i="4"/>
  <c r="K65" i="5" s="1"/>
  <c r="D64" i="4"/>
  <c r="K64" i="5" s="1"/>
  <c r="D63" i="4"/>
  <c r="K63" i="5" s="1"/>
  <c r="B63" i="4"/>
  <c r="I63" i="5" s="1"/>
  <c r="D61" i="4"/>
  <c r="D60" i="4"/>
  <c r="K60" i="5" s="1"/>
  <c r="D57" i="4"/>
  <c r="B57" i="4"/>
  <c r="I57" i="5" s="1"/>
  <c r="D56" i="4"/>
  <c r="K56" i="5" s="1"/>
  <c r="M63" i="5" l="1"/>
  <c r="N63" i="5" s="1"/>
  <c r="S40" i="4"/>
  <c r="V40" i="4" s="1"/>
  <c r="K57" i="5"/>
  <c r="M57" i="5" s="1"/>
  <c r="N57" i="5" s="1"/>
  <c r="N16" i="4"/>
  <c r="K61" i="5"/>
  <c r="K55" i="5" l="1"/>
  <c r="Q138" i="31"/>
  <c r="D43" i="4"/>
  <c r="B43" i="4"/>
  <c r="D39" i="4"/>
  <c r="D37" i="4"/>
  <c r="B31" i="4"/>
  <c r="D18" i="4"/>
  <c r="K18" i="5" s="1"/>
  <c r="B18" i="4"/>
  <c r="I18" i="5" s="1"/>
  <c r="B6" i="1"/>
  <c r="F8" i="1"/>
  <c r="N25" i="14"/>
  <c r="N21" i="14"/>
  <c r="N20" i="14" s="1"/>
  <c r="N19" i="14" s="1"/>
  <c r="N15" i="14"/>
  <c r="N12" i="14"/>
  <c r="N7" i="14" s="1"/>
  <c r="N6" i="14" s="1"/>
  <c r="N8" i="14"/>
  <c r="I31" i="5" l="1"/>
  <c r="M18" i="5"/>
  <c r="N18" i="5" s="1"/>
  <c r="K39" i="5"/>
  <c r="T41" i="4"/>
  <c r="N45" i="4"/>
  <c r="I43" i="5"/>
  <c r="T39" i="4"/>
  <c r="K37" i="5"/>
  <c r="T45" i="4"/>
  <c r="K43" i="5"/>
  <c r="N5" i="14"/>
  <c r="F31" i="4"/>
  <c r="F18" i="4"/>
  <c r="F9" i="1"/>
  <c r="M43" i="5" l="1"/>
  <c r="N43" i="5" s="1"/>
  <c r="M31" i="5"/>
  <c r="N31" i="5" s="1"/>
  <c r="D71" i="2"/>
  <c r="D34" i="2"/>
  <c r="D32" i="2"/>
  <c r="D16" i="2"/>
  <c r="D14" i="2"/>
  <c r="P277" i="41" l="1"/>
  <c r="P276" i="41"/>
  <c r="P268" i="41"/>
  <c r="P267" i="41" s="1"/>
  <c r="P266" i="41"/>
  <c r="P265" i="41"/>
  <c r="P264" i="41"/>
  <c r="P261" i="41"/>
  <c r="P258" i="41"/>
  <c r="P257" i="41"/>
  <c r="P256" i="41"/>
  <c r="P255" i="41"/>
  <c r="P254" i="41" s="1"/>
  <c r="Q253" i="41" s="1"/>
  <c r="S253" i="41" s="1"/>
  <c r="P252" i="41"/>
  <c r="P251" i="41"/>
  <c r="P250" i="41"/>
  <c r="P249" i="41"/>
  <c r="P248" i="41"/>
  <c r="P247" i="41"/>
  <c r="P246" i="41"/>
  <c r="P242" i="41"/>
  <c r="P241" i="41"/>
  <c r="P240" i="41" s="1"/>
  <c r="Q239" i="41" s="1"/>
  <c r="S239" i="41" s="1"/>
  <c r="P238" i="41"/>
  <c r="P237" i="41" s="1"/>
  <c r="P236" i="41"/>
  <c r="P235" i="41" s="1"/>
  <c r="Q234" i="41" s="1"/>
  <c r="S234" i="41" s="1"/>
  <c r="P230" i="41"/>
  <c r="Q228" i="41" s="1"/>
  <c r="S228" i="41" s="1"/>
  <c r="P225" i="41"/>
  <c r="Q224" i="41" s="1"/>
  <c r="S224" i="41" s="1"/>
  <c r="P223" i="41"/>
  <c r="P221" i="41" s="1"/>
  <c r="Q220" i="41" s="1"/>
  <c r="S220" i="41" s="1"/>
  <c r="P222" i="41"/>
  <c r="P219" i="41"/>
  <c r="P218" i="41" s="1"/>
  <c r="Q217" i="41" s="1"/>
  <c r="S217" i="41" s="1"/>
  <c r="P216" i="41"/>
  <c r="P215" i="41" s="1"/>
  <c r="P214" i="41"/>
  <c r="P213" i="41"/>
  <c r="P211" i="41"/>
  <c r="P210" i="41"/>
  <c r="Q209" i="41" s="1"/>
  <c r="S209" i="41" s="1"/>
  <c r="P208" i="41"/>
  <c r="P207" i="41"/>
  <c r="P204" i="41"/>
  <c r="P203" i="41"/>
  <c r="P202" i="41" s="1"/>
  <c r="P201" i="41"/>
  <c r="P200" i="41" s="1"/>
  <c r="P199" i="41"/>
  <c r="P198" i="41"/>
  <c r="P194" i="41" s="1"/>
  <c r="P197" i="41"/>
  <c r="P196" i="41"/>
  <c r="P195" i="41"/>
  <c r="P192" i="41"/>
  <c r="P191" i="41"/>
  <c r="P190" i="41"/>
  <c r="P189" i="41"/>
  <c r="P188" i="41"/>
  <c r="P187" i="41"/>
  <c r="P184" i="41"/>
  <c r="P183" i="41" s="1"/>
  <c r="Q182" i="41" s="1"/>
  <c r="P177" i="41"/>
  <c r="Q176" i="41" s="1"/>
  <c r="S176" i="41" s="1"/>
  <c r="S170" i="41"/>
  <c r="P167" i="41"/>
  <c r="Q166" i="41" s="1"/>
  <c r="S166" i="41" s="1"/>
  <c r="Q163" i="41"/>
  <c r="S163" i="41" s="1"/>
  <c r="P154" i="41"/>
  <c r="P151" i="41"/>
  <c r="Q150" i="41" s="1"/>
  <c r="P147" i="41"/>
  <c r="P144" i="41"/>
  <c r="P143" i="41"/>
  <c r="P141" i="41" s="1"/>
  <c r="R134" i="41"/>
  <c r="P133" i="41"/>
  <c r="P132" i="41"/>
  <c r="P129" i="41"/>
  <c r="P128" i="41"/>
  <c r="Q127" i="41" s="1"/>
  <c r="S127" i="41" s="1"/>
  <c r="P126" i="41"/>
  <c r="P125" i="41"/>
  <c r="P124" i="41"/>
  <c r="P121" i="41"/>
  <c r="P120" i="41"/>
  <c r="P119" i="41"/>
  <c r="P117" i="41"/>
  <c r="P116" i="41"/>
  <c r="P115" i="41" s="1"/>
  <c r="P113" i="41"/>
  <c r="P112" i="41"/>
  <c r="P111" i="41"/>
  <c r="P110" i="41"/>
  <c r="P109" i="41" s="1"/>
  <c r="Q108" i="41" s="1"/>
  <c r="S108" i="41" s="1"/>
  <c r="P107" i="41"/>
  <c r="P106" i="41" s="1"/>
  <c r="Q105" i="41" s="1"/>
  <c r="S105" i="41" s="1"/>
  <c r="P104" i="41"/>
  <c r="P103" i="41"/>
  <c r="P102" i="41"/>
  <c r="P101" i="41"/>
  <c r="P100" i="41"/>
  <c r="P99" i="41"/>
  <c r="P98" i="41"/>
  <c r="P97" i="41"/>
  <c r="P96" i="41"/>
  <c r="P95" i="41"/>
  <c r="P92" i="41"/>
  <c r="P88" i="41" s="1"/>
  <c r="Q87" i="41" s="1"/>
  <c r="S87" i="41" s="1"/>
  <c r="P91" i="41"/>
  <c r="P90" i="41"/>
  <c r="P86" i="41"/>
  <c r="P85" i="41" s="1"/>
  <c r="Q84" i="41" s="1"/>
  <c r="S84" i="41" s="1"/>
  <c r="P83" i="41"/>
  <c r="P82" i="41" s="1"/>
  <c r="P81" i="41"/>
  <c r="P80" i="41"/>
  <c r="P77" i="41"/>
  <c r="P74" i="41" s="1"/>
  <c r="Q73" i="41" s="1"/>
  <c r="S73" i="41" s="1"/>
  <c r="P76" i="41"/>
  <c r="P75" i="41"/>
  <c r="P72" i="41"/>
  <c r="P68" i="41" s="1"/>
  <c r="P71" i="41"/>
  <c r="P70" i="41"/>
  <c r="P69" i="41"/>
  <c r="P67" i="41"/>
  <c r="P66" i="41" s="1"/>
  <c r="P64" i="41"/>
  <c r="P63" i="41" s="1"/>
  <c r="P61" i="41"/>
  <c r="P60" i="41"/>
  <c r="P58" i="41"/>
  <c r="G59" i="41" s="1"/>
  <c r="P59" i="41" s="1"/>
  <c r="P57" i="41"/>
  <c r="R54" i="41"/>
  <c r="P49" i="41"/>
  <c r="P48" i="41"/>
  <c r="P47" i="41"/>
  <c r="P46" i="41"/>
  <c r="P43" i="41"/>
  <c r="P42" i="41" s="1"/>
  <c r="P41" i="41"/>
  <c r="P40" i="41"/>
  <c r="P39" i="41"/>
  <c r="P37" i="41"/>
  <c r="P36" i="41"/>
  <c r="P33" i="41" s="1"/>
  <c r="P35" i="41"/>
  <c r="P34" i="41"/>
  <c r="P32" i="41"/>
  <c r="P31" i="41"/>
  <c r="P30" i="41"/>
  <c r="P28" i="41"/>
  <c r="P27" i="41" s="1"/>
  <c r="P26" i="41"/>
  <c r="P25" i="41"/>
  <c r="P24" i="41"/>
  <c r="P23" i="41" s="1"/>
  <c r="P22" i="41"/>
  <c r="P21" i="41"/>
  <c r="P20" i="41"/>
  <c r="P19" i="41" s="1"/>
  <c r="P18" i="41"/>
  <c r="P17" i="41"/>
  <c r="P16" i="41"/>
  <c r="P15" i="41" s="1"/>
  <c r="P13" i="41"/>
  <c r="P12" i="41"/>
  <c r="P11" i="41"/>
  <c r="P10" i="41" s="1"/>
  <c r="Q9" i="41" s="1"/>
  <c r="R8" i="41"/>
  <c r="O56" i="40"/>
  <c r="O55" i="40" s="1"/>
  <c r="P54" i="40" s="1"/>
  <c r="Q53" i="40"/>
  <c r="O51" i="40"/>
  <c r="P50" i="40" s="1"/>
  <c r="O47" i="40"/>
  <c r="Q46" i="40" s="1"/>
  <c r="O44" i="40"/>
  <c r="O43" i="40" s="1"/>
  <c r="P42" i="40" s="1"/>
  <c r="B34" i="2" s="1"/>
  <c r="Q41" i="40"/>
  <c r="O39" i="40"/>
  <c r="O38" i="40" s="1"/>
  <c r="P37" i="40" s="1"/>
  <c r="Q36" i="40"/>
  <c r="D63" i="2" s="1"/>
  <c r="O35" i="40"/>
  <c r="O34" i="40" s="1"/>
  <c r="O33" i="40"/>
  <c r="O32" i="40" s="1"/>
  <c r="O30" i="40"/>
  <c r="O29" i="40" s="1"/>
  <c r="P28" i="40" s="1"/>
  <c r="Q27" i="40"/>
  <c r="O26" i="40"/>
  <c r="O25" i="40"/>
  <c r="O24" i="40"/>
  <c r="O23" i="40"/>
  <c r="O22" i="40"/>
  <c r="O20" i="40"/>
  <c r="O19" i="40" s="1"/>
  <c r="O18" i="40"/>
  <c r="O17" i="40"/>
  <c r="O16" i="40" s="1"/>
  <c r="O15" i="40"/>
  <c r="O14" i="40"/>
  <c r="O13" i="40"/>
  <c r="O12" i="40" s="1"/>
  <c r="O11" i="40"/>
  <c r="O10" i="40" s="1"/>
  <c r="P9" i="40" s="1"/>
  <c r="Q8" i="40"/>
  <c r="D50" i="2" s="1"/>
  <c r="Q14" i="41" l="1"/>
  <c r="S14" i="41" s="1"/>
  <c r="P29" i="41"/>
  <c r="P38" i="41"/>
  <c r="P118" i="41"/>
  <c r="P245" i="41"/>
  <c r="Q244" i="41" s="1"/>
  <c r="P263" i="41"/>
  <c r="P206" i="41"/>
  <c r="Q205" i="41" s="1"/>
  <c r="S205" i="41" s="1"/>
  <c r="Q114" i="41"/>
  <c r="S114" i="41" s="1"/>
  <c r="P131" i="41"/>
  <c r="Q130" i="41" s="1"/>
  <c r="S130" i="41" s="1"/>
  <c r="P123" i="41"/>
  <c r="Q122" i="41" s="1"/>
  <c r="S122" i="41" s="1"/>
  <c r="P79" i="41"/>
  <c r="Q78" i="41" s="1"/>
  <c r="S78" i="41" s="1"/>
  <c r="P94" i="41"/>
  <c r="Q93" i="41" s="1"/>
  <c r="S93" i="41" s="1"/>
  <c r="S150" i="41"/>
  <c r="Q136" i="41"/>
  <c r="Q193" i="41"/>
  <c r="Q62" i="41"/>
  <c r="P186" i="41"/>
  <c r="Q185" i="41" s="1"/>
  <c r="S185" i="41" s="1"/>
  <c r="S182" i="41"/>
  <c r="P46" i="40"/>
  <c r="Q7" i="40"/>
  <c r="D58" i="2"/>
  <c r="K17" i="2" s="1"/>
  <c r="Q50" i="40"/>
  <c r="Q45" i="40" s="1"/>
  <c r="Q40" i="40" s="1"/>
  <c r="Q6" i="40" s="1"/>
  <c r="Q5" i="40" s="1"/>
  <c r="P21" i="40"/>
  <c r="R21" i="40" s="1"/>
  <c r="P275" i="41"/>
  <c r="S9" i="41"/>
  <c r="S259" i="41"/>
  <c r="G50" i="41"/>
  <c r="P50" i="41" s="1"/>
  <c r="P45" i="41" s="1"/>
  <c r="Q44" i="41" s="1"/>
  <c r="P56" i="41"/>
  <c r="Q55" i="41" s="1"/>
  <c r="S136" i="41"/>
  <c r="Q212" i="41"/>
  <c r="S212" i="41" s="1"/>
  <c r="R7" i="41"/>
  <c r="R6" i="41" s="1"/>
  <c r="R5" i="41" s="1"/>
  <c r="P41" i="40"/>
  <c r="R42" i="40"/>
  <c r="R28" i="40"/>
  <c r="P31" i="40"/>
  <c r="R31" i="40" s="1"/>
  <c r="R37" i="40"/>
  <c r="P36" i="40"/>
  <c r="R9" i="40"/>
  <c r="P8" i="40"/>
  <c r="B50" i="2" s="1"/>
  <c r="P53" i="40"/>
  <c r="R53" i="40" s="1"/>
  <c r="R54" i="40"/>
  <c r="O140" i="28"/>
  <c r="O139" i="28" s="1"/>
  <c r="B61" i="4" l="1"/>
  <c r="F61" i="4" s="1"/>
  <c r="G53" i="41"/>
  <c r="P53" i="41" s="1"/>
  <c r="P52" i="41" s="1"/>
  <c r="Q51" i="41" s="1"/>
  <c r="S51" i="41" s="1"/>
  <c r="S244" i="41"/>
  <c r="W56" i="41"/>
  <c r="B52" i="4" s="1"/>
  <c r="F52" i="4" s="1"/>
  <c r="Q135" i="41"/>
  <c r="B42" i="4" s="1"/>
  <c r="I42" i="5" s="1"/>
  <c r="M42" i="5" s="1"/>
  <c r="S193" i="41"/>
  <c r="W183" i="41"/>
  <c r="B71" i="4" s="1"/>
  <c r="S62" i="41"/>
  <c r="X62" i="41"/>
  <c r="R50" i="40"/>
  <c r="P45" i="40"/>
  <c r="R45" i="40" s="1"/>
  <c r="R46" i="40"/>
  <c r="R36" i="40"/>
  <c r="B63" i="2"/>
  <c r="V244" i="41"/>
  <c r="S44" i="41"/>
  <c r="Q8" i="41"/>
  <c r="B16" i="4" s="1"/>
  <c r="S55" i="41"/>
  <c r="Q54" i="41"/>
  <c r="W58" i="41" s="1"/>
  <c r="P7" i="40"/>
  <c r="R8" i="40"/>
  <c r="P27" i="40"/>
  <c r="R41" i="40"/>
  <c r="R40" i="40"/>
  <c r="Q181" i="41" l="1"/>
  <c r="S181" i="41" s="1"/>
  <c r="I16" i="5"/>
  <c r="M16" i="5" s="1"/>
  <c r="F16" i="4"/>
  <c r="I61" i="5"/>
  <c r="M61" i="5" s="1"/>
  <c r="W55" i="41"/>
  <c r="B29" i="4" s="1"/>
  <c r="I29" i="5" s="1"/>
  <c r="I52" i="5"/>
  <c r="M52" i="5" s="1"/>
  <c r="N44" i="4"/>
  <c r="S135" i="41"/>
  <c r="Q134" i="41"/>
  <c r="S134" i="41" s="1"/>
  <c r="F42" i="4"/>
  <c r="F71" i="4"/>
  <c r="I71" i="5"/>
  <c r="M29" i="5"/>
  <c r="M44" i="4"/>
  <c r="R27" i="40"/>
  <c r="B58" i="2"/>
  <c r="J17" i="2" s="1"/>
  <c r="W184" i="41"/>
  <c r="B79" i="4" s="1"/>
  <c r="M16" i="4" s="1"/>
  <c r="S269" i="41"/>
  <c r="S8" i="41"/>
  <c r="Q7" i="41"/>
  <c r="R7" i="40"/>
  <c r="P6" i="40"/>
  <c r="S277" i="39"/>
  <c r="T277" i="39" s="1"/>
  <c r="R276" i="39"/>
  <c r="D99" i="4" s="1"/>
  <c r="K99" i="5" s="1"/>
  <c r="Q276" i="39"/>
  <c r="B99" i="4" s="1"/>
  <c r="I99" i="5" s="1"/>
  <c r="P274" i="39"/>
  <c r="P273" i="39" s="1"/>
  <c r="P272" i="39"/>
  <c r="P271" i="39" s="1"/>
  <c r="R269" i="39"/>
  <c r="D88" i="4" s="1"/>
  <c r="K88" i="5" s="1"/>
  <c r="P263" i="39"/>
  <c r="P255" i="39"/>
  <c r="P244" i="39"/>
  <c r="P243" i="39"/>
  <c r="P242" i="39"/>
  <c r="P241" i="39"/>
  <c r="P240" i="39"/>
  <c r="P239" i="39"/>
  <c r="P238" i="39"/>
  <c r="P237" i="39"/>
  <c r="P236" i="39"/>
  <c r="P235" i="39"/>
  <c r="P232" i="39"/>
  <c r="P231" i="39"/>
  <c r="S228" i="39"/>
  <c r="T228" i="39" s="1"/>
  <c r="Q227" i="39"/>
  <c r="S227" i="39" s="1"/>
  <c r="T227" i="39" s="1"/>
  <c r="P226" i="39"/>
  <c r="P225" i="39"/>
  <c r="P224" i="39"/>
  <c r="P223" i="39"/>
  <c r="P220" i="39"/>
  <c r="P219" i="39" s="1"/>
  <c r="P218" i="39"/>
  <c r="P217" i="39" s="1"/>
  <c r="Q216" i="39" s="1"/>
  <c r="S216" i="39" s="1"/>
  <c r="T216" i="39" s="1"/>
  <c r="P215" i="39"/>
  <c r="P214" i="39"/>
  <c r="P211" i="39"/>
  <c r="P210" i="39"/>
  <c r="P209" i="39" s="1"/>
  <c r="Q208" i="39" s="1"/>
  <c r="S208" i="39" s="1"/>
  <c r="T208" i="39" s="1"/>
  <c r="P207" i="39"/>
  <c r="P206" i="39"/>
  <c r="P203" i="39"/>
  <c r="P202" i="39"/>
  <c r="P201" i="39"/>
  <c r="P198" i="39"/>
  <c r="P197" i="39"/>
  <c r="P196" i="39"/>
  <c r="P195" i="39"/>
  <c r="P194" i="39"/>
  <c r="P193" i="39"/>
  <c r="P192" i="39"/>
  <c r="P189" i="39"/>
  <c r="P188" i="39"/>
  <c r="P185" i="39"/>
  <c r="P184" i="39"/>
  <c r="P183" i="39" s="1"/>
  <c r="Q182" i="39" s="1"/>
  <c r="S182" i="39" s="1"/>
  <c r="T182" i="39" s="1"/>
  <c r="P181" i="39"/>
  <c r="P180" i="39" s="1"/>
  <c r="Q179" i="39" s="1"/>
  <c r="S179" i="39" s="1"/>
  <c r="T179" i="39" s="1"/>
  <c r="Q178" i="39"/>
  <c r="S178" i="39" s="1"/>
  <c r="T178" i="39" s="1"/>
  <c r="P177" i="39"/>
  <c r="P175" i="39"/>
  <c r="Q174" i="39" s="1"/>
  <c r="S174" i="39" s="1"/>
  <c r="T174" i="39" s="1"/>
  <c r="P172" i="39"/>
  <c r="P171" i="39"/>
  <c r="P170" i="39"/>
  <c r="R167" i="39"/>
  <c r="R166" i="39" s="1"/>
  <c r="P150" i="39"/>
  <c r="P146" i="39"/>
  <c r="Q81" i="39"/>
  <c r="R80" i="39"/>
  <c r="D40" i="4" s="1"/>
  <c r="P79" i="39"/>
  <c r="P76" i="39" s="1"/>
  <c r="P74" i="39" s="1"/>
  <c r="Q73" i="39" s="1"/>
  <c r="Q77" i="39"/>
  <c r="S77" i="39" s="1"/>
  <c r="R72" i="39"/>
  <c r="S70" i="39"/>
  <c r="T70" i="39" s="1"/>
  <c r="S69" i="39"/>
  <c r="T69" i="39" s="1"/>
  <c r="P68" i="39"/>
  <c r="P67" i="39" s="1"/>
  <c r="P66" i="39"/>
  <c r="P65" i="39" s="1"/>
  <c r="P64" i="39"/>
  <c r="P63" i="39"/>
  <c r="P60" i="39"/>
  <c r="P59" i="39" s="1"/>
  <c r="Q58" i="39" s="1"/>
  <c r="S58" i="39" s="1"/>
  <c r="T58" i="39" s="1"/>
  <c r="P57" i="39"/>
  <c r="P56" i="39"/>
  <c r="P54" i="39"/>
  <c r="P53" i="39" s="1"/>
  <c r="P52" i="39"/>
  <c r="P51" i="39" s="1"/>
  <c r="P50" i="39"/>
  <c r="P49" i="39" s="1"/>
  <c r="P47" i="39"/>
  <c r="P46" i="39"/>
  <c r="P44" i="39"/>
  <c r="G45" i="39" s="1"/>
  <c r="P45" i="39" s="1"/>
  <c r="P43" i="39"/>
  <c r="R40" i="39"/>
  <c r="P39" i="39"/>
  <c r="P38" i="39" s="1"/>
  <c r="Q37" i="39" s="1"/>
  <c r="S37" i="39" s="1"/>
  <c r="T37" i="39" s="1"/>
  <c r="P36" i="39"/>
  <c r="P35" i="39" s="1"/>
  <c r="Q34" i="39" s="1"/>
  <c r="S34" i="39" s="1"/>
  <c r="T34" i="39" s="1"/>
  <c r="P33" i="39"/>
  <c r="P32" i="39" s="1"/>
  <c r="P31" i="39"/>
  <c r="P30" i="39" s="1"/>
  <c r="P29" i="39"/>
  <c r="P28" i="39"/>
  <c r="P27" i="39"/>
  <c r="P25" i="39"/>
  <c r="P24" i="39" s="1"/>
  <c r="P23" i="39"/>
  <c r="P22" i="39" s="1"/>
  <c r="P21" i="39"/>
  <c r="P20" i="39" s="1"/>
  <c r="P19" i="39"/>
  <c r="P18" i="39" s="1"/>
  <c r="P17" i="39"/>
  <c r="P16" i="39"/>
  <c r="P14" i="39"/>
  <c r="P13" i="39" s="1"/>
  <c r="P11" i="39"/>
  <c r="P10" i="39" s="1"/>
  <c r="Q9" i="39" s="1"/>
  <c r="R8" i="39"/>
  <c r="O45" i="38"/>
  <c r="O44" i="38" s="1"/>
  <c r="P43" i="38" s="1"/>
  <c r="Q42" i="38"/>
  <c r="Q41" i="38" s="1"/>
  <c r="Q40" i="38" s="1"/>
  <c r="O39" i="38"/>
  <c r="O38" i="38" s="1"/>
  <c r="P37" i="38" s="1"/>
  <c r="Q36" i="38"/>
  <c r="P33" i="38"/>
  <c r="R33" i="38" s="1"/>
  <c r="Q32" i="38"/>
  <c r="O31" i="38"/>
  <c r="O30" i="38" s="1"/>
  <c r="P29" i="38" s="1"/>
  <c r="B32" i="2" s="1"/>
  <c r="Q28" i="38"/>
  <c r="Q27" i="38" s="1"/>
  <c r="P26" i="38"/>
  <c r="R26" i="38" s="1"/>
  <c r="S26" i="38" s="1"/>
  <c r="O25" i="38"/>
  <c r="O24" i="38"/>
  <c r="O23" i="38" s="1"/>
  <c r="P22" i="38" s="1"/>
  <c r="Q21" i="38"/>
  <c r="D57" i="2" s="1"/>
  <c r="O20" i="38"/>
  <c r="O19" i="38"/>
  <c r="O18" i="38"/>
  <c r="O17" i="38" s="1"/>
  <c r="O15" i="38"/>
  <c r="O14" i="38"/>
  <c r="O13" i="38"/>
  <c r="O12" i="38"/>
  <c r="O11" i="38"/>
  <c r="Q8" i="38"/>
  <c r="D48" i="2" s="1"/>
  <c r="K15" i="2" s="1"/>
  <c r="Q7" i="38"/>
  <c r="P44" i="4" l="1"/>
  <c r="Q180" i="41"/>
  <c r="S180" i="41" s="1"/>
  <c r="F29" i="4"/>
  <c r="P246" i="39"/>
  <c r="Q245" i="39"/>
  <c r="S245" i="39" s="1"/>
  <c r="Q136" i="39"/>
  <c r="S136" i="39" s="1"/>
  <c r="P15" i="39"/>
  <c r="P62" i="39"/>
  <c r="P55" i="39"/>
  <c r="P187" i="39"/>
  <c r="Q186" i="39" s="1"/>
  <c r="S186" i="39" s="1"/>
  <c r="T186" i="39" s="1"/>
  <c r="P205" i="39"/>
  <c r="Q204" i="39" s="1"/>
  <c r="S204" i="39" s="1"/>
  <c r="T204" i="39" s="1"/>
  <c r="Q275" i="39"/>
  <c r="P213" i="39"/>
  <c r="Q212" i="39" s="1"/>
  <c r="S212" i="39" s="1"/>
  <c r="R268" i="39"/>
  <c r="P191" i="39"/>
  <c r="Q190" i="39" s="1"/>
  <c r="S190" i="39" s="1"/>
  <c r="T190" i="39" s="1"/>
  <c r="M99" i="5"/>
  <c r="N99" i="5" s="1"/>
  <c r="F79" i="4"/>
  <c r="I79" i="5"/>
  <c r="T42" i="4"/>
  <c r="K40" i="5"/>
  <c r="M71" i="5"/>
  <c r="P26" i="39"/>
  <c r="P157" i="39"/>
  <c r="P169" i="39"/>
  <c r="Q168" i="39" s="1"/>
  <c r="P230" i="39"/>
  <c r="Q229" i="39" s="1"/>
  <c r="S229" i="39" s="1"/>
  <c r="R275" i="39"/>
  <c r="S276" i="39"/>
  <c r="T276" i="39" s="1"/>
  <c r="D14" i="4"/>
  <c r="K14" i="5" s="1"/>
  <c r="X15" i="39"/>
  <c r="P222" i="39"/>
  <c r="Q221" i="39" s="1"/>
  <c r="S221" i="39" s="1"/>
  <c r="T221" i="39" s="1"/>
  <c r="Q270" i="39"/>
  <c r="Q269" i="39" s="1"/>
  <c r="B88" i="4" s="1"/>
  <c r="D27" i="4"/>
  <c r="K27" i="5" s="1"/>
  <c r="X16" i="39"/>
  <c r="R71" i="39"/>
  <c r="X18" i="39" s="1"/>
  <c r="P200" i="39"/>
  <c r="Q199" i="39" s="1"/>
  <c r="S199" i="39" s="1"/>
  <c r="P234" i="39"/>
  <c r="Q233" i="39" s="1"/>
  <c r="R37" i="38"/>
  <c r="S37" i="38" s="1"/>
  <c r="B14" i="2"/>
  <c r="P36" i="38"/>
  <c r="R36" i="38" s="1"/>
  <c r="S36" i="38" s="1"/>
  <c r="O10" i="38"/>
  <c r="P9" i="38" s="1"/>
  <c r="P8" i="38" s="1"/>
  <c r="B48" i="2" s="1"/>
  <c r="Q6" i="38"/>
  <c r="Q5" i="38" s="1"/>
  <c r="P16" i="38"/>
  <c r="R16" i="38" s="1"/>
  <c r="S16" i="38" s="1"/>
  <c r="P42" i="38"/>
  <c r="P41" i="38" s="1"/>
  <c r="P40" i="38" s="1"/>
  <c r="B71" i="2"/>
  <c r="P32" i="38"/>
  <c r="R32" i="38" s="1"/>
  <c r="R7" i="39"/>
  <c r="R6" i="39" s="1"/>
  <c r="R5" i="39" s="1"/>
  <c r="S7" i="41"/>
  <c r="P5" i="40"/>
  <c r="R5" i="40" s="1"/>
  <c r="R6" i="40"/>
  <c r="Q61" i="39"/>
  <c r="S61" i="39" s="1"/>
  <c r="S9" i="39"/>
  <c r="T9" i="39" s="1"/>
  <c r="Q12" i="39"/>
  <c r="S12" i="39" s="1"/>
  <c r="P42" i="39"/>
  <c r="Q41" i="39" s="1"/>
  <c r="Q72" i="39"/>
  <c r="S73" i="39"/>
  <c r="Q48" i="39"/>
  <c r="S48" i="39" s="1"/>
  <c r="T48" i="39" s="1"/>
  <c r="R22" i="38"/>
  <c r="S22" i="38" s="1"/>
  <c r="P21" i="38"/>
  <c r="R29" i="38"/>
  <c r="S29" i="38" s="1"/>
  <c r="P28" i="38"/>
  <c r="R43" i="38"/>
  <c r="S43" i="38" s="1"/>
  <c r="Q6" i="41" l="1"/>
  <c r="Q5" i="41" s="1"/>
  <c r="S275" i="39"/>
  <c r="T275" i="39" s="1"/>
  <c r="S270" i="39"/>
  <c r="W169" i="39"/>
  <c r="B69" i="4" s="1"/>
  <c r="I69" i="5" s="1"/>
  <c r="M69" i="5" s="1"/>
  <c r="N69" i="5" s="1"/>
  <c r="F88" i="4"/>
  <c r="I88" i="5"/>
  <c r="M79" i="5"/>
  <c r="S233" i="39"/>
  <c r="T233" i="39" s="1"/>
  <c r="W170" i="39"/>
  <c r="B80" i="4" s="1"/>
  <c r="I80" i="5" s="1"/>
  <c r="M80" i="5" s="1"/>
  <c r="N80" i="5" s="1"/>
  <c r="S168" i="39"/>
  <c r="T168" i="39" s="1"/>
  <c r="X19" i="39"/>
  <c r="N14" i="4"/>
  <c r="S42" i="4"/>
  <c r="V42" i="4" s="1"/>
  <c r="R9" i="38"/>
  <c r="S9" i="38" s="1"/>
  <c r="R21" i="38"/>
  <c r="S21" i="38" s="1"/>
  <c r="B57" i="2"/>
  <c r="J15" i="2" s="1"/>
  <c r="Q268" i="39"/>
  <c r="S268" i="39" s="1"/>
  <c r="S269" i="39"/>
  <c r="Q80" i="39"/>
  <c r="S81" i="39"/>
  <c r="T81" i="39" s="1"/>
  <c r="Q167" i="39"/>
  <c r="S41" i="39"/>
  <c r="T41" i="39" s="1"/>
  <c r="Q40" i="39"/>
  <c r="Q8" i="39"/>
  <c r="S72" i="39"/>
  <c r="R42" i="38"/>
  <c r="S42" i="38" s="1"/>
  <c r="P27" i="38"/>
  <c r="R27" i="38" s="1"/>
  <c r="S27" i="38" s="1"/>
  <c r="R28" i="38"/>
  <c r="S28" i="38" s="1"/>
  <c r="R8" i="38"/>
  <c r="S8" i="38" s="1"/>
  <c r="P7" i="38"/>
  <c r="S6" i="41" l="1"/>
  <c r="S5" i="41"/>
  <c r="X5" i="41"/>
  <c r="M88" i="5"/>
  <c r="W15" i="39"/>
  <c r="B14" i="4"/>
  <c r="I14" i="5" s="1"/>
  <c r="S40" i="39"/>
  <c r="T40" i="39" s="1"/>
  <c r="W16" i="39"/>
  <c r="B27" i="4"/>
  <c r="I27" i="5" s="1"/>
  <c r="S80" i="39"/>
  <c r="T80" i="39" s="1"/>
  <c r="B40" i="4"/>
  <c r="Q71" i="39"/>
  <c r="S71" i="39" s="1"/>
  <c r="T71" i="39" s="1"/>
  <c r="Q7" i="39"/>
  <c r="S8" i="39"/>
  <c r="T8" i="39" s="1"/>
  <c r="S167" i="39"/>
  <c r="T167" i="39" s="1"/>
  <c r="Q166" i="39"/>
  <c r="S166" i="39" s="1"/>
  <c r="T166" i="39" s="1"/>
  <c r="R40" i="38"/>
  <c r="S40" i="38" s="1"/>
  <c r="R41" i="38"/>
  <c r="S41" i="38" s="1"/>
  <c r="R7" i="38"/>
  <c r="S7" i="38" s="1"/>
  <c r="P6" i="38"/>
  <c r="M14" i="5" l="1"/>
  <c r="N14" i="5" s="1"/>
  <c r="M27" i="5"/>
  <c r="N27" i="5" s="1"/>
  <c r="N42" i="4"/>
  <c r="I40" i="5"/>
  <c r="M14" i="4"/>
  <c r="W18" i="39"/>
  <c r="W19" i="39" s="1"/>
  <c r="M42" i="4"/>
  <c r="Q6" i="39"/>
  <c r="S7" i="39"/>
  <c r="T7" i="39" s="1"/>
  <c r="R6" i="38"/>
  <c r="S6" i="38" s="1"/>
  <c r="P5" i="38"/>
  <c r="R5" i="38" s="1"/>
  <c r="S5" i="38" s="1"/>
  <c r="P42" i="4" l="1"/>
  <c r="M40" i="5"/>
  <c r="N40" i="5" s="1"/>
  <c r="Q5" i="39"/>
  <c r="S6" i="39"/>
  <c r="T6" i="39" s="1"/>
  <c r="S5" i="39" l="1"/>
  <c r="T5" i="39" s="1"/>
  <c r="Y5" i="39"/>
  <c r="R119" i="21"/>
  <c r="P22" i="20"/>
  <c r="D76" i="2" l="1"/>
  <c r="D72" i="2"/>
  <c r="D69" i="2"/>
  <c r="D67" i="2"/>
  <c r="B67" i="2"/>
  <c r="D66" i="2"/>
  <c r="B66" i="2"/>
  <c r="D65" i="2"/>
  <c r="B65" i="2"/>
  <c r="D60" i="2"/>
  <c r="B60" i="2"/>
  <c r="D53" i="2"/>
  <c r="B53" i="2"/>
  <c r="D52" i="2"/>
  <c r="P138" i="28"/>
  <c r="P137" i="28" s="1"/>
  <c r="D49" i="2"/>
  <c r="B49" i="2"/>
  <c r="D47" i="2"/>
  <c r="D41" i="2"/>
  <c r="D68" i="2" l="1"/>
  <c r="D19" i="6" s="1"/>
  <c r="B41" i="2"/>
  <c r="D39" i="2"/>
  <c r="B39" i="2"/>
  <c r="D38" i="2"/>
  <c r="B38" i="2"/>
  <c r="D37" i="2"/>
  <c r="B37" i="2"/>
  <c r="D36" i="2"/>
  <c r="D35" i="2" l="1"/>
  <c r="D33" i="2"/>
  <c r="D31" i="2"/>
  <c r="D30" i="2"/>
  <c r="B30" i="2"/>
  <c r="D29" i="2"/>
  <c r="D26" i="2"/>
  <c r="K22" i="2" s="1"/>
  <c r="B25" i="2"/>
  <c r="J21" i="2" s="1"/>
  <c r="B26" i="2"/>
  <c r="J22" i="2" s="1"/>
  <c r="D25" i="2"/>
  <c r="K21" i="2" s="1"/>
  <c r="D24" i="2"/>
  <c r="K20" i="2" s="1"/>
  <c r="B24" i="2"/>
  <c r="J20" i="2" s="1"/>
  <c r="D23" i="2"/>
  <c r="K19" i="2" s="1"/>
  <c r="B23" i="2"/>
  <c r="O75" i="16"/>
  <c r="D15" i="2" l="1"/>
  <c r="K16" i="2" s="1"/>
  <c r="D13" i="2"/>
  <c r="D12" i="2"/>
  <c r="K13" i="2" s="1"/>
  <c r="D11" i="2"/>
  <c r="O97" i="16"/>
  <c r="O74" i="16"/>
  <c r="P73" i="16" s="1"/>
  <c r="O62" i="16"/>
  <c r="O61" i="16"/>
  <c r="O60" i="16"/>
  <c r="O59" i="16"/>
  <c r="O58" i="16"/>
  <c r="L28" i="14"/>
  <c r="L27" i="14" s="1"/>
  <c r="L18" i="14"/>
  <c r="L11" i="14"/>
  <c r="P57" i="16" l="1"/>
  <c r="O11" i="2"/>
  <c r="M13" i="14"/>
  <c r="M12" i="14" s="1"/>
  <c r="P228" i="17"/>
  <c r="P227" i="17"/>
  <c r="P225" i="17" s="1"/>
  <c r="Q223" i="17" l="1"/>
  <c r="R8" i="37" l="1"/>
  <c r="D21" i="4" s="1"/>
  <c r="K21" i="5" s="1"/>
  <c r="P76" i="37"/>
  <c r="Q75" i="37" s="1"/>
  <c r="R74" i="37"/>
  <c r="R73" i="37" s="1"/>
  <c r="S75" i="37" l="1"/>
  <c r="Q74" i="37"/>
  <c r="B95" i="4" s="1"/>
  <c r="I95" i="5" s="1"/>
  <c r="P86" i="35"/>
  <c r="P85" i="35" s="1"/>
  <c r="Q84" i="35" s="1"/>
  <c r="R83" i="35"/>
  <c r="R82" i="35"/>
  <c r="P60" i="33"/>
  <c r="D32" i="4"/>
  <c r="K32" i="5" s="1"/>
  <c r="T47" i="5" s="1"/>
  <c r="U47" i="5" s="1"/>
  <c r="N141" i="33"/>
  <c r="N140" i="33" s="1"/>
  <c r="O139" i="33" s="1"/>
  <c r="P138" i="33"/>
  <c r="V13" i="33" l="1"/>
  <c r="P59" i="33"/>
  <c r="D95" i="4"/>
  <c r="K95" i="5" s="1"/>
  <c r="M95" i="5" s="1"/>
  <c r="D94" i="4"/>
  <c r="K94" i="5" s="1"/>
  <c r="P137" i="33"/>
  <c r="D93" i="4"/>
  <c r="K93" i="5" s="1"/>
  <c r="T50" i="5" s="1"/>
  <c r="U50" i="5" s="1"/>
  <c r="D45" i="4"/>
  <c r="Q73" i="37"/>
  <c r="S74" i="37"/>
  <c r="Q83" i="35"/>
  <c r="B94" i="4" s="1"/>
  <c r="S84" i="35"/>
  <c r="Q139" i="33"/>
  <c r="O138" i="33"/>
  <c r="B93" i="4" s="1"/>
  <c r="I93" i="5" s="1"/>
  <c r="R50" i="5" s="1"/>
  <c r="P440" i="29"/>
  <c r="N442" i="29"/>
  <c r="N445" i="29"/>
  <c r="N444" i="29" s="1"/>
  <c r="P112" i="25"/>
  <c r="P111" i="25" s="1"/>
  <c r="P110" i="25"/>
  <c r="P109" i="25" s="1"/>
  <c r="R107" i="25"/>
  <c r="S162" i="19"/>
  <c r="T162" i="19" s="1"/>
  <c r="R161" i="19"/>
  <c r="Q161" i="19"/>
  <c r="Q160" i="19" s="1"/>
  <c r="S279" i="17"/>
  <c r="T279" i="17" s="1"/>
  <c r="R278" i="17"/>
  <c r="D97" i="4" s="1"/>
  <c r="K97" i="5" s="1"/>
  <c r="Q278" i="17"/>
  <c r="V50" i="5" l="1"/>
  <c r="S50" i="5"/>
  <c r="S161" i="19"/>
  <c r="T161" i="19" s="1"/>
  <c r="T47" i="4"/>
  <c r="K45" i="5"/>
  <c r="T48" i="5" s="1"/>
  <c r="U48" i="5" s="1"/>
  <c r="F94" i="4"/>
  <c r="I94" i="5"/>
  <c r="F95" i="4"/>
  <c r="M93" i="5"/>
  <c r="S47" i="4"/>
  <c r="F93" i="4"/>
  <c r="R106" i="25"/>
  <c r="D89" i="4"/>
  <c r="K89" i="5" s="1"/>
  <c r="R160" i="19"/>
  <c r="P439" i="29"/>
  <c r="D91" i="4"/>
  <c r="K91" i="5" s="1"/>
  <c r="Q277" i="17"/>
  <c r="B97" i="4"/>
  <c r="I97" i="5" s="1"/>
  <c r="S278" i="17"/>
  <c r="T278" i="17" s="1"/>
  <c r="S73" i="37"/>
  <c r="Q82" i="35"/>
  <c r="S82" i="35" s="1"/>
  <c r="S83" i="35"/>
  <c r="O137" i="33"/>
  <c r="Q137" i="33" s="1"/>
  <c r="Q138" i="33"/>
  <c r="O441" i="29"/>
  <c r="Q108" i="25"/>
  <c r="R277" i="17"/>
  <c r="Q205" i="21"/>
  <c r="Q204" i="21" s="1"/>
  <c r="Q203" i="21"/>
  <c r="Q202" i="21" s="1"/>
  <c r="S200" i="21"/>
  <c r="D87" i="4" s="1"/>
  <c r="K87" i="5" s="1"/>
  <c r="P159" i="19"/>
  <c r="P158" i="19" s="1"/>
  <c r="Q157" i="19" s="1"/>
  <c r="R156" i="19"/>
  <c r="P276" i="17"/>
  <c r="P274" i="17"/>
  <c r="P273" i="17" s="1"/>
  <c r="R271" i="17"/>
  <c r="S199" i="21" l="1"/>
  <c r="V47" i="4"/>
  <c r="M94" i="5"/>
  <c r="M97" i="5"/>
  <c r="N97" i="5" s="1"/>
  <c r="S160" i="19"/>
  <c r="T160" i="19" s="1"/>
  <c r="W13" i="19"/>
  <c r="R155" i="19"/>
  <c r="D86" i="4"/>
  <c r="S277" i="17"/>
  <c r="T277" i="17" s="1"/>
  <c r="R270" i="17"/>
  <c r="D85" i="4"/>
  <c r="K85" i="5" s="1"/>
  <c r="O440" i="29"/>
  <c r="Q441" i="29"/>
  <c r="R201" i="21"/>
  <c r="P275" i="17"/>
  <c r="Q272" i="17" s="1"/>
  <c r="S272" i="17" s="1"/>
  <c r="S108" i="25"/>
  <c r="Q107" i="25"/>
  <c r="B89" i="4" s="1"/>
  <c r="N12" i="4" l="1"/>
  <c r="K86" i="5"/>
  <c r="F89" i="4"/>
  <c r="I89" i="5"/>
  <c r="O439" i="29"/>
  <c r="Q439" i="29" s="1"/>
  <c r="B91" i="4"/>
  <c r="S107" i="25"/>
  <c r="Q106" i="25"/>
  <c r="S106" i="25" s="1"/>
  <c r="T201" i="21"/>
  <c r="R200" i="21"/>
  <c r="B87" i="4" s="1"/>
  <c r="S157" i="19"/>
  <c r="Q156" i="19"/>
  <c r="B86" i="4" s="1"/>
  <c r="Q271" i="17"/>
  <c r="I87" i="5" l="1"/>
  <c r="M87" i="5" s="1"/>
  <c r="F87" i="4"/>
  <c r="F86" i="4"/>
  <c r="I86" i="5"/>
  <c r="M89" i="5"/>
  <c r="F91" i="4"/>
  <c r="I91" i="5"/>
  <c r="Q270" i="17"/>
  <c r="S270" i="17" s="1"/>
  <c r="B85" i="4"/>
  <c r="I85" i="5" s="1"/>
  <c r="R199" i="21"/>
  <c r="T199" i="21" s="1"/>
  <c r="T200" i="21"/>
  <c r="Q155" i="19"/>
  <c r="S155" i="19" s="1"/>
  <c r="S156" i="19"/>
  <c r="S271" i="17"/>
  <c r="M85" i="5" l="1"/>
  <c r="M91" i="5"/>
  <c r="M86" i="5"/>
  <c r="F85" i="4"/>
  <c r="P239" i="15"/>
  <c r="Q238" i="15" s="1"/>
  <c r="R237" i="15"/>
  <c r="R242" i="15"/>
  <c r="R241" i="15" s="1"/>
  <c r="P245" i="15"/>
  <c r="P244" i="15" s="1"/>
  <c r="Q243" i="15" s="1"/>
  <c r="B56" i="4" s="1"/>
  <c r="I56" i="5" s="1"/>
  <c r="M56" i="5" l="1"/>
  <c r="N56" i="5" s="1"/>
  <c r="I55" i="5"/>
  <c r="R236" i="15"/>
  <c r="D84" i="4"/>
  <c r="K84" i="5" s="1"/>
  <c r="K83" i="5" s="1"/>
  <c r="Q237" i="15"/>
  <c r="B84" i="4" s="1"/>
  <c r="I84" i="5" s="1"/>
  <c r="S238" i="15"/>
  <c r="Q242" i="15"/>
  <c r="S243" i="15"/>
  <c r="T243" i="15" s="1"/>
  <c r="O11" i="18"/>
  <c r="O10" i="18" s="1"/>
  <c r="P9" i="18" s="1"/>
  <c r="R9" i="18" s="1"/>
  <c r="M55" i="5" l="1"/>
  <c r="N55" i="5" s="1"/>
  <c r="M84" i="5"/>
  <c r="S237" i="15"/>
  <c r="Q236" i="15"/>
  <c r="S236" i="15" s="1"/>
  <c r="Q241" i="15"/>
  <c r="S241" i="15" s="1"/>
  <c r="T241" i="15" s="1"/>
  <c r="S242" i="15"/>
  <c r="T242" i="15" s="1"/>
  <c r="P8" i="18"/>
  <c r="R8" i="18" s="1"/>
  <c r="O80" i="16" l="1"/>
  <c r="F41" i="2" l="1"/>
  <c r="G41" i="2" s="1"/>
  <c r="F21" i="2"/>
  <c r="F23" i="2"/>
  <c r="G23" i="2" s="1"/>
  <c r="F24" i="2"/>
  <c r="G24" i="2" s="1"/>
  <c r="F25" i="2"/>
  <c r="G25" i="2" s="1"/>
  <c r="F26" i="2"/>
  <c r="G26" i="2" s="1"/>
  <c r="F67" i="2"/>
  <c r="D40" i="2"/>
  <c r="B40" i="2"/>
  <c r="D17" i="2"/>
  <c r="D10" i="6" s="1"/>
  <c r="F73" i="2"/>
  <c r="F63" i="2"/>
  <c r="F58" i="2"/>
  <c r="F34" i="2"/>
  <c r="F16" i="2"/>
  <c r="F30" i="2"/>
  <c r="F32" i="2"/>
  <c r="G32" i="2" s="1"/>
  <c r="F37" i="2"/>
  <c r="F38" i="2"/>
  <c r="F39" i="2"/>
  <c r="D27" i="2"/>
  <c r="D11" i="6" l="1"/>
  <c r="L26" i="2"/>
  <c r="B12" i="6"/>
  <c r="J27" i="2"/>
  <c r="M27" i="2" s="1"/>
  <c r="D12" i="6"/>
  <c r="L27" i="2"/>
  <c r="F40" i="2"/>
  <c r="G40" i="2" s="1"/>
  <c r="I5" i="5" l="1"/>
  <c r="P71" i="37"/>
  <c r="Q70" i="37" s="1"/>
  <c r="S70" i="37" s="1"/>
  <c r="P68" i="37"/>
  <c r="Q67" i="37" s="1"/>
  <c r="R66" i="37"/>
  <c r="R65" i="37" s="1"/>
  <c r="P62" i="37"/>
  <c r="S53" i="37"/>
  <c r="P52" i="37"/>
  <c r="P51" i="37"/>
  <c r="P48" i="37"/>
  <c r="P47" i="37"/>
  <c r="P46" i="37" s="1"/>
  <c r="Q45" i="37" s="1"/>
  <c r="S45" i="37" s="1"/>
  <c r="T45" i="37" s="1"/>
  <c r="P44" i="37"/>
  <c r="P43" i="37"/>
  <c r="P42" i="37" s="1"/>
  <c r="P41" i="37"/>
  <c r="P40" i="37"/>
  <c r="P39" i="37"/>
  <c r="P36" i="37"/>
  <c r="P35" i="37"/>
  <c r="P34" i="37"/>
  <c r="P33" i="37"/>
  <c r="P30" i="37"/>
  <c r="P29" i="37" s="1"/>
  <c r="Q28" i="37" s="1"/>
  <c r="S28" i="37" s="1"/>
  <c r="T28" i="37" s="1"/>
  <c r="P27" i="37"/>
  <c r="P26" i="37" s="1"/>
  <c r="S25" i="37"/>
  <c r="T25" i="37" s="1"/>
  <c r="P24" i="37"/>
  <c r="P23" i="37" s="1"/>
  <c r="Q22" i="37" s="1"/>
  <c r="S22" i="37" s="1"/>
  <c r="T22" i="37" s="1"/>
  <c r="P21" i="37"/>
  <c r="P20" i="37"/>
  <c r="P19" i="37"/>
  <c r="P18" i="37"/>
  <c r="P17" i="37"/>
  <c r="P13" i="37"/>
  <c r="P12" i="37"/>
  <c r="P11" i="37"/>
  <c r="O20" i="36"/>
  <c r="O19" i="36" s="1"/>
  <c r="P18" i="36" s="1"/>
  <c r="O16" i="36"/>
  <c r="O15" i="36" s="1"/>
  <c r="P14" i="36" s="1"/>
  <c r="Q14" i="36"/>
  <c r="Q13" i="36" s="1"/>
  <c r="Q12" i="36" s="1"/>
  <c r="O11" i="36"/>
  <c r="O10" i="36"/>
  <c r="P9" i="36" s="1"/>
  <c r="B76" i="4" l="1"/>
  <c r="P10" i="37"/>
  <c r="Q9" i="37" s="1"/>
  <c r="S9" i="37" s="1"/>
  <c r="T9" i="37" s="1"/>
  <c r="Q15" i="37"/>
  <c r="S15" i="37" s="1"/>
  <c r="T15" i="37" s="1"/>
  <c r="P32" i="37"/>
  <c r="Q31" i="37" s="1"/>
  <c r="S31" i="37" s="1"/>
  <c r="T31" i="37" s="1"/>
  <c r="P38" i="37"/>
  <c r="Q37" i="37" s="1"/>
  <c r="S37" i="37" s="1"/>
  <c r="T37" i="37" s="1"/>
  <c r="P50" i="37"/>
  <c r="Q49" i="37" s="1"/>
  <c r="P57" i="37"/>
  <c r="Q56" i="37" s="1"/>
  <c r="S56" i="37"/>
  <c r="T56" i="37" s="1"/>
  <c r="Q55" i="37"/>
  <c r="B46" i="4" s="1"/>
  <c r="Q8" i="37"/>
  <c r="B21" i="4" s="1"/>
  <c r="I21" i="5" s="1"/>
  <c r="S67" i="37"/>
  <c r="Q66" i="37"/>
  <c r="P13" i="36"/>
  <c r="R14" i="36"/>
  <c r="P8" i="36"/>
  <c r="R9" i="36"/>
  <c r="R18" i="36"/>
  <c r="S18" i="36" s="1"/>
  <c r="P17" i="36"/>
  <c r="R17" i="36" s="1"/>
  <c r="S17" i="36" s="1"/>
  <c r="I46" i="5" l="1"/>
  <c r="N49" i="4"/>
  <c r="M21" i="5"/>
  <c r="N21" i="5" s="1"/>
  <c r="F76" i="4"/>
  <c r="I76" i="5"/>
  <c r="Q14" i="37"/>
  <c r="S55" i="37"/>
  <c r="T55" i="37" s="1"/>
  <c r="Q54" i="37"/>
  <c r="S54" i="37" s="1"/>
  <c r="T54" i="37" s="1"/>
  <c r="S66" i="37"/>
  <c r="Q65" i="37"/>
  <c r="S65" i="37" s="1"/>
  <c r="S8" i="37"/>
  <c r="T8" i="37" s="1"/>
  <c r="P7" i="36"/>
  <c r="R8" i="36"/>
  <c r="P12" i="36"/>
  <c r="R12" i="36" s="1"/>
  <c r="R13" i="36"/>
  <c r="M76" i="5" l="1"/>
  <c r="M46" i="5"/>
  <c r="N46" i="5" s="1"/>
  <c r="B34" i="4"/>
  <c r="I34" i="5" s="1"/>
  <c r="Q7" i="37"/>
  <c r="Q6" i="37" s="1"/>
  <c r="R7" i="36"/>
  <c r="P6" i="36"/>
  <c r="M21" i="4" l="1"/>
  <c r="M49" i="4"/>
  <c r="P49" i="4" s="1"/>
  <c r="Q5" i="37"/>
  <c r="R6" i="36"/>
  <c r="P5" i="36"/>
  <c r="R5" i="36" s="1"/>
  <c r="S5" i="36" s="1"/>
  <c r="T81" i="35" l="1"/>
  <c r="S81" i="35"/>
  <c r="P80" i="35"/>
  <c r="P79" i="35"/>
  <c r="Q78" i="35" s="1"/>
  <c r="P77" i="35"/>
  <c r="P76" i="35" s="1"/>
  <c r="Q75" i="35" s="1"/>
  <c r="B65" i="4" s="1"/>
  <c r="I65" i="5" s="1"/>
  <c r="R74" i="35"/>
  <c r="R73" i="35" s="1"/>
  <c r="P72" i="35"/>
  <c r="P71" i="35" s="1"/>
  <c r="Q70" i="35" s="1"/>
  <c r="S70" i="35" s="1"/>
  <c r="P69" i="35"/>
  <c r="P68" i="35" s="1"/>
  <c r="Q67" i="35" s="1"/>
  <c r="S67" i="35" s="1"/>
  <c r="T67" i="35" s="1"/>
  <c r="P66" i="35"/>
  <c r="P65" i="35" s="1"/>
  <c r="Q64" i="35" s="1"/>
  <c r="S64" i="35" s="1"/>
  <c r="P63" i="35"/>
  <c r="P62" i="35" s="1"/>
  <c r="Q61" i="35" s="1"/>
  <c r="S61" i="35" s="1"/>
  <c r="T61" i="35" s="1"/>
  <c r="P60" i="35"/>
  <c r="P59" i="35"/>
  <c r="P58" i="35" s="1"/>
  <c r="S57" i="35" s="1"/>
  <c r="T57" i="35" s="1"/>
  <c r="P56" i="35"/>
  <c r="P55" i="35" s="1"/>
  <c r="Q54" i="35" s="1"/>
  <c r="S54" i="35" s="1"/>
  <c r="P53" i="35"/>
  <c r="P52" i="35" s="1"/>
  <c r="Q51" i="35" s="1"/>
  <c r="S51" i="35" s="1"/>
  <c r="T51" i="35" s="1"/>
  <c r="P50" i="35"/>
  <c r="P49" i="35"/>
  <c r="P48" i="35" s="1"/>
  <c r="Q47" i="35" s="1"/>
  <c r="S47" i="35" s="1"/>
  <c r="P46" i="35"/>
  <c r="P45" i="35"/>
  <c r="P44" i="35"/>
  <c r="P43" i="35" s="1"/>
  <c r="P42" i="35"/>
  <c r="P41" i="35" s="1"/>
  <c r="P39" i="35"/>
  <c r="P38" i="35"/>
  <c r="Q37" i="35" s="1"/>
  <c r="S37" i="35" s="1"/>
  <c r="T37" i="35" s="1"/>
  <c r="P36" i="35"/>
  <c r="P34" i="35" s="1"/>
  <c r="Q33" i="35" s="1"/>
  <c r="S33" i="35" s="1"/>
  <c r="T33" i="35" s="1"/>
  <c r="P35" i="35"/>
  <c r="P32" i="35"/>
  <c r="P31" i="35"/>
  <c r="Q30" i="35" s="1"/>
  <c r="S30" i="35" s="1"/>
  <c r="P29" i="35"/>
  <c r="P28" i="35"/>
  <c r="P27" i="35"/>
  <c r="P26" i="35"/>
  <c r="P25" i="35"/>
  <c r="R22" i="35"/>
  <c r="P21" i="35"/>
  <c r="P20" i="35"/>
  <c r="Q19" i="35" s="1"/>
  <c r="S19" i="35" s="1"/>
  <c r="P18" i="35"/>
  <c r="P17" i="35"/>
  <c r="P16" i="35"/>
  <c r="P15" i="35" s="1"/>
  <c r="Q14" i="35" s="1"/>
  <c r="S14" i="35" s="1"/>
  <c r="P13" i="35"/>
  <c r="P12" i="35"/>
  <c r="P11" i="35"/>
  <c r="P10" i="35" s="1"/>
  <c r="Q9" i="35" s="1"/>
  <c r="R8" i="35"/>
  <c r="O20" i="34"/>
  <c r="O19" i="34" s="1"/>
  <c r="P18" i="34" s="1"/>
  <c r="Q17" i="34"/>
  <c r="O16" i="34"/>
  <c r="O15" i="34" s="1"/>
  <c r="P14" i="34" s="1"/>
  <c r="Q13" i="34"/>
  <c r="O11" i="34"/>
  <c r="O10" i="34" s="1"/>
  <c r="P9" i="34" s="1"/>
  <c r="Q8" i="34"/>
  <c r="Q5" i="34"/>
  <c r="M65" i="5" l="1"/>
  <c r="N65" i="5" s="1"/>
  <c r="P24" i="35"/>
  <c r="Q23" i="35" s="1"/>
  <c r="S23" i="35" s="1"/>
  <c r="S78" i="35"/>
  <c r="T78" i="35" s="1"/>
  <c r="W73" i="35"/>
  <c r="B75" i="4" s="1"/>
  <c r="I75" i="5" s="1"/>
  <c r="D33" i="4"/>
  <c r="R7" i="35"/>
  <c r="R6" i="35" s="1"/>
  <c r="R5" i="35" s="1"/>
  <c r="D20" i="4"/>
  <c r="Q12" i="34"/>
  <c r="Q8" i="35"/>
  <c r="B20" i="4" s="1"/>
  <c r="S9" i="35"/>
  <c r="T9" i="35" s="1"/>
  <c r="Q40" i="35"/>
  <c r="S40" i="35" s="1"/>
  <c r="T40" i="35" s="1"/>
  <c r="S75" i="35"/>
  <c r="T75" i="35" s="1"/>
  <c r="Q74" i="35"/>
  <c r="P8" i="34"/>
  <c r="R9" i="34"/>
  <c r="S9" i="34" s="1"/>
  <c r="P13" i="34"/>
  <c r="R14" i="34"/>
  <c r="R18" i="34"/>
  <c r="S18" i="34" s="1"/>
  <c r="P17" i="34"/>
  <c r="R17" i="34" s="1"/>
  <c r="S17" i="34" s="1"/>
  <c r="I20" i="5" l="1"/>
  <c r="K20" i="5"/>
  <c r="N20" i="4"/>
  <c r="K33" i="5"/>
  <c r="S48" i="4"/>
  <c r="V48" i="4" s="1"/>
  <c r="M75" i="5"/>
  <c r="N75" i="5" s="1"/>
  <c r="Q22" i="35"/>
  <c r="S74" i="35"/>
  <c r="T74" i="35" s="1"/>
  <c r="Q73" i="35"/>
  <c r="S73" i="35" s="1"/>
  <c r="T73" i="35" s="1"/>
  <c r="S8" i="35"/>
  <c r="T8" i="35" s="1"/>
  <c r="R13" i="34"/>
  <c r="P12" i="34"/>
  <c r="R12" i="34" s="1"/>
  <c r="S12" i="34" s="1"/>
  <c r="P7" i="34"/>
  <c r="R8" i="34"/>
  <c r="S8" i="34" s="1"/>
  <c r="M20" i="5" l="1"/>
  <c r="N20" i="5" s="1"/>
  <c r="Q7" i="35"/>
  <c r="Q6" i="35" s="1"/>
  <c r="B33" i="4"/>
  <c r="S22" i="35"/>
  <c r="T22" i="35" s="1"/>
  <c r="P6" i="34"/>
  <c r="R7" i="34"/>
  <c r="S7" i="34" s="1"/>
  <c r="I33" i="5" l="1"/>
  <c r="M48" i="4"/>
  <c r="P48" i="4" s="1"/>
  <c r="M20" i="4"/>
  <c r="S7" i="35"/>
  <c r="T7" i="35" s="1"/>
  <c r="Q5" i="35"/>
  <c r="S5" i="35" s="1"/>
  <c r="T5" i="35" s="1"/>
  <c r="S6" i="35"/>
  <c r="T6" i="35" s="1"/>
  <c r="R6" i="34"/>
  <c r="S6" i="34" s="1"/>
  <c r="P5" i="34"/>
  <c r="R5" i="34" s="1"/>
  <c r="S5" i="34" s="1"/>
  <c r="M33" i="5" l="1"/>
  <c r="N33" i="5" s="1"/>
  <c r="N136" i="33"/>
  <c r="Q133" i="33"/>
  <c r="R133" i="33" s="1"/>
  <c r="N132" i="33"/>
  <c r="N131" i="33" s="1"/>
  <c r="O130" i="33" s="1"/>
  <c r="Q130" i="33" s="1"/>
  <c r="R130" i="33" s="1"/>
  <c r="N129" i="33"/>
  <c r="N128" i="33"/>
  <c r="N127" i="33"/>
  <c r="N126" i="33"/>
  <c r="N125" i="33"/>
  <c r="P123" i="33"/>
  <c r="P118" i="33" s="1"/>
  <c r="P117" i="33" s="1"/>
  <c r="N122" i="33"/>
  <c r="N121" i="33"/>
  <c r="N57" i="33"/>
  <c r="N56" i="33"/>
  <c r="N55" i="33"/>
  <c r="N54" i="33"/>
  <c r="N51" i="33"/>
  <c r="N50" i="33"/>
  <c r="N47" i="33"/>
  <c r="N46" i="33"/>
  <c r="N45" i="33"/>
  <c r="N44" i="33"/>
  <c r="N43" i="33"/>
  <c r="N36" i="33"/>
  <c r="N35" i="33" s="1"/>
  <c r="N34" i="33"/>
  <c r="N33" i="33" s="1"/>
  <c r="N30" i="33"/>
  <c r="N29" i="33" s="1"/>
  <c r="O28" i="33" s="1"/>
  <c r="Q28" i="33" s="1"/>
  <c r="R28" i="33" s="1"/>
  <c r="N27" i="33"/>
  <c r="N26" i="33"/>
  <c r="N25" i="33"/>
  <c r="N23" i="33"/>
  <c r="N22" i="33"/>
  <c r="N20" i="33"/>
  <c r="N19" i="33" s="1"/>
  <c r="N18" i="33"/>
  <c r="N17" i="33"/>
  <c r="N14" i="33"/>
  <c r="N13" i="33"/>
  <c r="N12" i="33"/>
  <c r="N11" i="33"/>
  <c r="P8" i="33"/>
  <c r="V11" i="33" s="1"/>
  <c r="V14" i="33" s="1"/>
  <c r="O37" i="32"/>
  <c r="O36" i="32"/>
  <c r="O35" i="32"/>
  <c r="O34" i="32"/>
  <c r="P33" i="32" s="1"/>
  <c r="Q32" i="32"/>
  <c r="O31" i="32"/>
  <c r="O30" i="32" s="1"/>
  <c r="P29" i="32" s="1"/>
  <c r="Q28" i="32"/>
  <c r="O27" i="32"/>
  <c r="O26" i="32" s="1"/>
  <c r="P25" i="32" s="1"/>
  <c r="Q25" i="32"/>
  <c r="Q6" i="32"/>
  <c r="Q5" i="32" s="1"/>
  <c r="O22" i="32"/>
  <c r="O21" i="32"/>
  <c r="P20" i="32" s="1"/>
  <c r="Q19" i="32"/>
  <c r="O18" i="32"/>
  <c r="O17" i="32" s="1"/>
  <c r="P16" i="32" s="1"/>
  <c r="Q15" i="32"/>
  <c r="Q7" i="32" s="1"/>
  <c r="O14" i="32"/>
  <c r="O13" i="32" s="1"/>
  <c r="P12" i="32" s="1"/>
  <c r="R12" i="32" s="1"/>
  <c r="S12" i="32" s="1"/>
  <c r="O11" i="32"/>
  <c r="O10" i="32"/>
  <c r="P9" i="32" s="1"/>
  <c r="Q8" i="32"/>
  <c r="N120" i="33" l="1"/>
  <c r="O119" i="33" s="1"/>
  <c r="B64" i="4" s="1"/>
  <c r="I64" i="5" s="1"/>
  <c r="N21" i="33"/>
  <c r="N49" i="33"/>
  <c r="O48" i="33" s="1"/>
  <c r="N24" i="33"/>
  <c r="N41" i="33"/>
  <c r="O40" i="33" s="1"/>
  <c r="N124" i="33"/>
  <c r="O123" i="33" s="1"/>
  <c r="Q123" i="33" s="1"/>
  <c r="N10" i="33"/>
  <c r="O9" i="33" s="1"/>
  <c r="N16" i="33"/>
  <c r="D19" i="4"/>
  <c r="P7" i="33"/>
  <c r="P6" i="33" s="1"/>
  <c r="N53" i="33"/>
  <c r="O52" i="33" s="1"/>
  <c r="Q52" i="33" s="1"/>
  <c r="R52" i="33" s="1"/>
  <c r="U121" i="33"/>
  <c r="D74" i="4" s="1"/>
  <c r="K74" i="5" s="1"/>
  <c r="T49" i="5" s="1"/>
  <c r="U49" i="5" s="1"/>
  <c r="N135" i="33"/>
  <c r="O134" i="33" s="1"/>
  <c r="Q134" i="33" s="1"/>
  <c r="R134" i="33" s="1"/>
  <c r="Q119" i="33"/>
  <c r="O32" i="33"/>
  <c r="Q32" i="33" s="1"/>
  <c r="R33" i="32"/>
  <c r="S33" i="32" s="1"/>
  <c r="P32" i="32"/>
  <c r="R32" i="32" s="1"/>
  <c r="S32" i="32" s="1"/>
  <c r="R9" i="32"/>
  <c r="S9" i="32" s="1"/>
  <c r="P8" i="32"/>
  <c r="R16" i="32"/>
  <c r="S16" i="32" s="1"/>
  <c r="P15" i="32"/>
  <c r="R15" i="32" s="1"/>
  <c r="S15" i="32" s="1"/>
  <c r="R29" i="32"/>
  <c r="S29" i="32" s="1"/>
  <c r="P28" i="32"/>
  <c r="R28" i="32" s="1"/>
  <c r="S28" i="32" s="1"/>
  <c r="R25" i="32"/>
  <c r="P24" i="32"/>
  <c r="P19" i="32"/>
  <c r="R19" i="32" s="1"/>
  <c r="S19" i="32" s="1"/>
  <c r="R20" i="32"/>
  <c r="S20" i="32" s="1"/>
  <c r="Q48" i="33" l="1"/>
  <c r="R48" i="33" s="1"/>
  <c r="Q9" i="33"/>
  <c r="R9" i="33" s="1"/>
  <c r="N19" i="4"/>
  <c r="K19" i="5"/>
  <c r="T46" i="5" s="1"/>
  <c r="M64" i="5"/>
  <c r="N64" i="5" s="1"/>
  <c r="Q40" i="33"/>
  <c r="O31" i="33"/>
  <c r="O15" i="33"/>
  <c r="Q15" i="33" s="1"/>
  <c r="R15" i="33" s="1"/>
  <c r="R119" i="33"/>
  <c r="Q118" i="33"/>
  <c r="O118" i="33"/>
  <c r="O117" i="33" s="1"/>
  <c r="P5" i="33"/>
  <c r="T121" i="33"/>
  <c r="B74" i="4" s="1"/>
  <c r="I74" i="5" s="1"/>
  <c r="R49" i="5" s="1"/>
  <c r="Q61" i="33"/>
  <c r="R61" i="33" s="1"/>
  <c r="O60" i="33"/>
  <c r="O59" i="33" s="1"/>
  <c r="R8" i="32"/>
  <c r="S8" i="32" s="1"/>
  <c r="P7" i="32"/>
  <c r="P23" i="32"/>
  <c r="R23" i="32" s="1"/>
  <c r="S23" i="32" s="1"/>
  <c r="R24" i="32"/>
  <c r="O8" i="33" l="1"/>
  <c r="V49" i="5"/>
  <c r="W49" i="5" s="1"/>
  <c r="S49" i="5"/>
  <c r="T45" i="5"/>
  <c r="U45" i="5" s="1"/>
  <c r="U46" i="5"/>
  <c r="M74" i="5"/>
  <c r="N74" i="5" s="1"/>
  <c r="Q8" i="33"/>
  <c r="R8" i="33" s="1"/>
  <c r="U13" i="33"/>
  <c r="Q117" i="33"/>
  <c r="R117" i="33" s="1"/>
  <c r="R118" i="33"/>
  <c r="O7" i="33"/>
  <c r="O6" i="33" s="1"/>
  <c r="U12" i="33"/>
  <c r="Q31" i="33"/>
  <c r="R31" i="33" s="1"/>
  <c r="B32" i="4"/>
  <c r="I32" i="5" s="1"/>
  <c r="R47" i="5" s="1"/>
  <c r="B45" i="4"/>
  <c r="I45" i="5" s="1"/>
  <c r="R48" i="5" s="1"/>
  <c r="Q60" i="33"/>
  <c r="R60" i="33" s="1"/>
  <c r="P6" i="32"/>
  <c r="R7" i="32"/>
  <c r="S7" i="32" s="1"/>
  <c r="V48" i="5" l="1"/>
  <c r="W48" i="5" s="1"/>
  <c r="S48" i="5"/>
  <c r="V47" i="5"/>
  <c r="W47" i="5" s="1"/>
  <c r="S47" i="5"/>
  <c r="M45" i="5"/>
  <c r="N45" i="5" s="1"/>
  <c r="M32" i="5"/>
  <c r="N32" i="5" s="1"/>
  <c r="B19" i="4"/>
  <c r="I19" i="5" s="1"/>
  <c r="R46" i="5" s="1"/>
  <c r="M47" i="4"/>
  <c r="U11" i="33"/>
  <c r="M19" i="4"/>
  <c r="N47" i="4"/>
  <c r="Q7" i="33"/>
  <c r="R7" i="33" s="1"/>
  <c r="U14" i="33"/>
  <c r="Q59" i="33"/>
  <c r="R59" i="33" s="1"/>
  <c r="Q6" i="33"/>
  <c r="R6" i="33" s="1"/>
  <c r="O5" i="33"/>
  <c r="R6" i="32"/>
  <c r="S6" i="32" s="1"/>
  <c r="P5" i="32"/>
  <c r="R5" i="32" s="1"/>
  <c r="S5" i="32" s="1"/>
  <c r="V46" i="5" l="1"/>
  <c r="W46" i="5" s="1"/>
  <c r="S46" i="5"/>
  <c r="R45" i="5"/>
  <c r="V45" i="5" s="1"/>
  <c r="W45" i="5" s="1"/>
  <c r="Q5" i="33"/>
  <c r="R5" i="33" s="1"/>
  <c r="U5" i="33"/>
  <c r="M19" i="5"/>
  <c r="N19" i="5" s="1"/>
  <c r="P47" i="4"/>
  <c r="P11" i="31"/>
  <c r="P12" i="31"/>
  <c r="P13" i="31"/>
  <c r="P14" i="31"/>
  <c r="P15" i="31"/>
  <c r="P16" i="31"/>
  <c r="O17" i="31"/>
  <c r="P17" i="31"/>
  <c r="P18" i="31"/>
  <c r="P19" i="31"/>
  <c r="P22" i="31"/>
  <c r="P23" i="31"/>
  <c r="P24" i="31"/>
  <c r="P25" i="31"/>
  <c r="P27" i="31"/>
  <c r="P28" i="31"/>
  <c r="P30" i="31"/>
  <c r="P29" i="31" s="1"/>
  <c r="P32" i="31"/>
  <c r="P33" i="31"/>
  <c r="P34" i="31"/>
  <c r="P35" i="31"/>
  <c r="P36" i="31"/>
  <c r="P37" i="31"/>
  <c r="P38" i="31"/>
  <c r="P39" i="31"/>
  <c r="P40" i="31"/>
  <c r="P42" i="31"/>
  <c r="P43" i="31"/>
  <c r="P45" i="31"/>
  <c r="P46" i="31"/>
  <c r="P47" i="31"/>
  <c r="P48" i="31"/>
  <c r="P50" i="31"/>
  <c r="P51" i="31"/>
  <c r="P52" i="31"/>
  <c r="P53" i="31"/>
  <c r="P54" i="31"/>
  <c r="P55" i="31"/>
  <c r="P57" i="31"/>
  <c r="P58" i="31"/>
  <c r="P59" i="31"/>
  <c r="P60" i="31"/>
  <c r="P61" i="31"/>
  <c r="P62" i="31"/>
  <c r="P63" i="31"/>
  <c r="P64" i="31"/>
  <c r="P66" i="31"/>
  <c r="P67" i="31"/>
  <c r="P68" i="31"/>
  <c r="P69" i="31"/>
  <c r="P70" i="31"/>
  <c r="P71" i="31"/>
  <c r="P72" i="31"/>
  <c r="P73" i="31"/>
  <c r="P74" i="31"/>
  <c r="P76" i="31"/>
  <c r="P75" i="31" s="1"/>
  <c r="P77" i="31"/>
  <c r="P79" i="31"/>
  <c r="P78" i="31" s="1"/>
  <c r="P82" i="31"/>
  <c r="P81" i="31" s="1"/>
  <c r="Q80" i="31" s="1"/>
  <c r="S80" i="31" s="1"/>
  <c r="T80" i="31" s="1"/>
  <c r="R83" i="31"/>
  <c r="P86" i="31"/>
  <c r="P87" i="31"/>
  <c r="P88" i="31"/>
  <c r="P89" i="31"/>
  <c r="P90" i="31"/>
  <c r="P93" i="31"/>
  <c r="P92" i="31" s="1"/>
  <c r="Q91" i="31" s="1"/>
  <c r="S91" i="31" s="1"/>
  <c r="T91" i="31" s="1"/>
  <c r="P96" i="31"/>
  <c r="P95" i="31" s="1"/>
  <c r="P98" i="31"/>
  <c r="P97" i="31" s="1"/>
  <c r="P101" i="31"/>
  <c r="P100" i="31" s="1"/>
  <c r="Q99" i="31" s="1"/>
  <c r="S99" i="31" s="1"/>
  <c r="T99" i="31" s="1"/>
  <c r="P104" i="31"/>
  <c r="P103" i="31" s="1"/>
  <c r="Q102" i="31" s="1"/>
  <c r="S102" i="31" s="1"/>
  <c r="P107" i="31"/>
  <c r="P106" i="31" s="1"/>
  <c r="Q105" i="31" s="1"/>
  <c r="S105" i="31" s="1"/>
  <c r="T105" i="31" s="1"/>
  <c r="P110" i="31"/>
  <c r="P111" i="31"/>
  <c r="P112" i="31"/>
  <c r="P113" i="31"/>
  <c r="P116" i="31"/>
  <c r="P115" i="31" s="1"/>
  <c r="Q114" i="31" s="1"/>
  <c r="S114" i="31" s="1"/>
  <c r="P118" i="31"/>
  <c r="P117" i="31" s="1"/>
  <c r="P121" i="31"/>
  <c r="P120" i="31" s="1"/>
  <c r="Q119" i="31" s="1"/>
  <c r="S119" i="31" s="1"/>
  <c r="P122" i="31"/>
  <c r="P125" i="31"/>
  <c r="P124" i="31" s="1"/>
  <c r="Q123" i="31" s="1"/>
  <c r="S123" i="31" s="1"/>
  <c r="T123" i="31" s="1"/>
  <c r="P128" i="31"/>
  <c r="P129" i="31"/>
  <c r="P132" i="31"/>
  <c r="P131" i="31" s="1"/>
  <c r="Q130" i="31" s="1"/>
  <c r="S130" i="31" s="1"/>
  <c r="T130" i="31" s="1"/>
  <c r="Q133" i="31"/>
  <c r="S133" i="31"/>
  <c r="T133" i="31" s="1"/>
  <c r="Q135" i="31"/>
  <c r="R135" i="31"/>
  <c r="S136" i="31"/>
  <c r="D44" i="4"/>
  <c r="K44" i="5" s="1"/>
  <c r="P140" i="31"/>
  <c r="P141" i="31"/>
  <c r="P142" i="31"/>
  <c r="P143" i="31"/>
  <c r="P145" i="31"/>
  <c r="P146" i="31"/>
  <c r="P147" i="31"/>
  <c r="P149" i="31"/>
  <c r="P150" i="31"/>
  <c r="P151" i="31"/>
  <c r="P153" i="31"/>
  <c r="P154" i="31"/>
  <c r="P155" i="31"/>
  <c r="P157" i="31"/>
  <c r="P158" i="31"/>
  <c r="P159" i="31"/>
  <c r="P161" i="31"/>
  <c r="P162" i="31"/>
  <c r="P163" i="31"/>
  <c r="P168" i="31"/>
  <c r="P167" i="31" s="1"/>
  <c r="P169" i="31"/>
  <c r="P170" i="31"/>
  <c r="P172" i="31"/>
  <c r="P171" i="31" s="1"/>
  <c r="P174" i="31"/>
  <c r="P173" i="31" s="1"/>
  <c r="P176" i="31"/>
  <c r="P175" i="31" s="1"/>
  <c r="P178" i="31"/>
  <c r="P179" i="31"/>
  <c r="P180" i="31"/>
  <c r="P181" i="31"/>
  <c r="P183" i="31"/>
  <c r="P182" i="31" s="1"/>
  <c r="P185" i="31"/>
  <c r="P186" i="31"/>
  <c r="P187" i="31"/>
  <c r="P188" i="31"/>
  <c r="P189" i="31"/>
  <c r="P194" i="31"/>
  <c r="P193" i="31" s="1"/>
  <c r="P196" i="31"/>
  <c r="P195" i="31" s="1"/>
  <c r="P198" i="31"/>
  <c r="P197" i="31" s="1"/>
  <c r="P200" i="31"/>
  <c r="P201" i="31"/>
  <c r="P203" i="31"/>
  <c r="P204" i="31"/>
  <c r="P205" i="31"/>
  <c r="P206" i="31"/>
  <c r="G208" i="31"/>
  <c r="P208" i="31" s="1"/>
  <c r="P207" i="31" s="1"/>
  <c r="R225" i="31"/>
  <c r="R224" i="31" s="1"/>
  <c r="P228" i="31"/>
  <c r="P227" i="31" s="1"/>
  <c r="R210" i="31"/>
  <c r="R209" i="31" s="1"/>
  <c r="S211" i="31"/>
  <c r="T211" i="31" s="1"/>
  <c r="S212" i="31"/>
  <c r="T212" i="31" s="1"/>
  <c r="S213" i="31"/>
  <c r="T213" i="31" s="1"/>
  <c r="S214" i="31"/>
  <c r="T214" i="31" s="1"/>
  <c r="P217" i="31"/>
  <c r="P220" i="31"/>
  <c r="P219" i="31" s="1"/>
  <c r="P222" i="31"/>
  <c r="P223" i="31"/>
  <c r="O22" i="30"/>
  <c r="O21" i="30"/>
  <c r="P20" i="30" s="1"/>
  <c r="Q19" i="30"/>
  <c r="Q14" i="30" s="1"/>
  <c r="Q6" i="30" s="1"/>
  <c r="Q5" i="30" s="1"/>
  <c r="O18" i="30"/>
  <c r="O17" i="30" s="1"/>
  <c r="P16" i="30" s="1"/>
  <c r="Q16" i="30"/>
  <c r="Q15" i="30"/>
  <c r="O13" i="30"/>
  <c r="P9" i="30" s="1"/>
  <c r="O12" i="30"/>
  <c r="Q8" i="30"/>
  <c r="Q7" i="30"/>
  <c r="S45" i="5" l="1"/>
  <c r="T46" i="4"/>
  <c r="S46" i="4"/>
  <c r="N18" i="4"/>
  <c r="R16" i="30"/>
  <c r="B36" i="2"/>
  <c r="F36" i="2" s="1"/>
  <c r="P15" i="30"/>
  <c r="R15" i="30" s="1"/>
  <c r="S135" i="31"/>
  <c r="Q94" i="31"/>
  <c r="S94" i="31" s="1"/>
  <c r="T94" i="31" s="1"/>
  <c r="P41" i="31"/>
  <c r="P26" i="31"/>
  <c r="P21" i="31"/>
  <c r="P152" i="31"/>
  <c r="R134" i="31"/>
  <c r="P65" i="31"/>
  <c r="P56" i="31"/>
  <c r="P202" i="31"/>
  <c r="P177" i="31"/>
  <c r="P156" i="31"/>
  <c r="P139" i="31"/>
  <c r="P127" i="31"/>
  <c r="Q126" i="31" s="1"/>
  <c r="S126" i="31" s="1"/>
  <c r="T126" i="31" s="1"/>
  <c r="P160" i="31"/>
  <c r="P144" i="31"/>
  <c r="P49" i="31"/>
  <c r="P44" i="31"/>
  <c r="P31" i="31"/>
  <c r="P199" i="31"/>
  <c r="P191" i="31" s="1"/>
  <c r="Q190" i="31" s="1"/>
  <c r="P184" i="31"/>
  <c r="P148" i="31"/>
  <c r="P109" i="31"/>
  <c r="Q108" i="31" s="1"/>
  <c r="S108" i="31" s="1"/>
  <c r="P85" i="31"/>
  <c r="Q84" i="31" s="1"/>
  <c r="S84" i="31" s="1"/>
  <c r="T84" i="31" s="1"/>
  <c r="P10" i="31"/>
  <c r="Q9" i="31" s="1"/>
  <c r="R7" i="31"/>
  <c r="Q225" i="31"/>
  <c r="B92" i="4" s="1"/>
  <c r="I92" i="5" s="1"/>
  <c r="S226" i="31"/>
  <c r="S9" i="31"/>
  <c r="T9" i="31" s="1"/>
  <c r="P19" i="30"/>
  <c r="R20" i="30"/>
  <c r="S20" i="30" s="1"/>
  <c r="R9" i="30"/>
  <c r="S9" i="30" s="1"/>
  <c r="P8" i="30"/>
  <c r="B52" i="2" s="1"/>
  <c r="M92" i="5" l="1"/>
  <c r="I83" i="5"/>
  <c r="V46" i="4"/>
  <c r="R6" i="31"/>
  <c r="R5" i="31" s="1"/>
  <c r="J19" i="2"/>
  <c r="F92" i="4"/>
  <c r="B83" i="4"/>
  <c r="Q20" i="31"/>
  <c r="S20" i="31" s="1"/>
  <c r="Q83" i="31"/>
  <c r="S83" i="31" s="1"/>
  <c r="T83" i="31" s="1"/>
  <c r="Q224" i="31"/>
  <c r="S224" i="31" s="1"/>
  <c r="S225" i="31"/>
  <c r="Q210" i="31"/>
  <c r="S215" i="31"/>
  <c r="T215" i="31" s="1"/>
  <c r="B44" i="4"/>
  <c r="P7" i="30"/>
  <c r="R8" i="30"/>
  <c r="S8" i="30" s="1"/>
  <c r="R19" i="30"/>
  <c r="S19" i="30" s="1"/>
  <c r="P14" i="30"/>
  <c r="R14" i="30" s="1"/>
  <c r="S14" i="30" s="1"/>
  <c r="M18" i="4" l="1"/>
  <c r="I44" i="5"/>
  <c r="N46" i="4"/>
  <c r="M46" i="4"/>
  <c r="M83" i="5"/>
  <c r="P33" i="4"/>
  <c r="P29" i="4"/>
  <c r="I19" i="6"/>
  <c r="Q8" i="31"/>
  <c r="S8" i="31" s="1"/>
  <c r="T8" i="31" s="1"/>
  <c r="S137" i="31"/>
  <c r="T137" i="31" s="1"/>
  <c r="Q134" i="31"/>
  <c r="S134" i="31" s="1"/>
  <c r="T134" i="31" s="1"/>
  <c r="Q209" i="31"/>
  <c r="S209" i="31" s="1"/>
  <c r="S210" i="31"/>
  <c r="P6" i="30"/>
  <c r="R7" i="30"/>
  <c r="S7" i="30" s="1"/>
  <c r="P46" i="4" l="1"/>
  <c r="M44" i="5"/>
  <c r="N44" i="5" s="1"/>
  <c r="Q7" i="31"/>
  <c r="P5" i="30"/>
  <c r="R5" i="30" s="1"/>
  <c r="S5" i="30" s="1"/>
  <c r="R6" i="30"/>
  <c r="S6" i="30" s="1"/>
  <c r="S7" i="31" l="1"/>
  <c r="T7" i="31" s="1"/>
  <c r="Q6" i="31"/>
  <c r="Q5" i="31" s="1"/>
  <c r="S5" i="31" s="1"/>
  <c r="T5" i="31" s="1"/>
  <c r="S6" i="31" l="1"/>
  <c r="T6" i="31" s="1"/>
  <c r="O430" i="29"/>
  <c r="Q430" i="29" s="1"/>
  <c r="N429" i="29"/>
  <c r="N428" i="29" s="1"/>
  <c r="O427" i="29" s="1"/>
  <c r="Q427" i="29" s="1"/>
  <c r="N426" i="29"/>
  <c r="N425" i="29"/>
  <c r="N282" i="29"/>
  <c r="N281" i="29"/>
  <c r="N279" i="29"/>
  <c r="N278" i="29"/>
  <c r="N276" i="29"/>
  <c r="N275" i="29"/>
  <c r="N273" i="29"/>
  <c r="N272" i="29"/>
  <c r="N270" i="29"/>
  <c r="N269" i="29"/>
  <c r="N268" i="29"/>
  <c r="N267" i="29"/>
  <c r="N265" i="29"/>
  <c r="N264" i="29"/>
  <c r="N262" i="29"/>
  <c r="N261" i="29"/>
  <c r="N259" i="29"/>
  <c r="N258" i="29"/>
  <c r="N256" i="29"/>
  <c r="N255" i="29"/>
  <c r="N253" i="29"/>
  <c r="N252" i="29"/>
  <c r="N250" i="29"/>
  <c r="N249" i="29"/>
  <c r="N247" i="29"/>
  <c r="N246" i="29"/>
  <c r="N244" i="29"/>
  <c r="N243" i="29"/>
  <c r="N241" i="29"/>
  <c r="N240" i="29"/>
  <c r="N238" i="29"/>
  <c r="N237" i="29"/>
  <c r="N235" i="29"/>
  <c r="N234" i="29"/>
  <c r="N232" i="29"/>
  <c r="N231" i="29"/>
  <c r="N229" i="29"/>
  <c r="N228" i="29"/>
  <c r="N226" i="29"/>
  <c r="N225" i="29"/>
  <c r="N223" i="29"/>
  <c r="N222" i="29"/>
  <c r="N221" i="29"/>
  <c r="N219" i="29"/>
  <c r="N218" i="29"/>
  <c r="N217" i="29"/>
  <c r="N215" i="29"/>
  <c r="N214" i="29"/>
  <c r="N213" i="29"/>
  <c r="N212" i="29"/>
  <c r="N210" i="29"/>
  <c r="N209" i="29"/>
  <c r="N207" i="29"/>
  <c r="N206" i="29"/>
  <c r="N204" i="29"/>
  <c r="N203" i="29"/>
  <c r="N202" i="29"/>
  <c r="N201" i="29"/>
  <c r="N199" i="29"/>
  <c r="N198" i="29"/>
  <c r="N196" i="29"/>
  <c r="N195" i="29"/>
  <c r="N193" i="29"/>
  <c r="N192" i="29"/>
  <c r="N178" i="29"/>
  <c r="N177" i="29"/>
  <c r="N174" i="29"/>
  <c r="N173" i="29"/>
  <c r="O167" i="29"/>
  <c r="Q167" i="29" s="1"/>
  <c r="R167" i="29" s="1"/>
  <c r="N162" i="29"/>
  <c r="N161" i="29"/>
  <c r="N160" i="29"/>
  <c r="N159" i="29"/>
  <c r="N158" i="29"/>
  <c r="N155" i="29"/>
  <c r="N154" i="29"/>
  <c r="N153" i="29"/>
  <c r="N150" i="29"/>
  <c r="N149" i="29"/>
  <c r="N148" i="29"/>
  <c r="N147" i="29"/>
  <c r="N146" i="29"/>
  <c r="N145" i="29"/>
  <c r="N144" i="29"/>
  <c r="N143" i="29"/>
  <c r="N142" i="29"/>
  <c r="N141" i="29"/>
  <c r="N140" i="29"/>
  <c r="N139" i="29"/>
  <c r="N136" i="29"/>
  <c r="N135" i="29"/>
  <c r="N134" i="29"/>
  <c r="N133" i="29"/>
  <c r="N130" i="29"/>
  <c r="N129" i="29" s="1"/>
  <c r="O128" i="29" s="1"/>
  <c r="Q128" i="29" s="1"/>
  <c r="R128" i="29" s="1"/>
  <c r="N127" i="29"/>
  <c r="N126" i="29" s="1"/>
  <c r="O125" i="29" s="1"/>
  <c r="Q125" i="29" s="1"/>
  <c r="R125" i="29" s="1"/>
  <c r="N124" i="29"/>
  <c r="N123" i="29"/>
  <c r="N122" i="29"/>
  <c r="N121" i="29"/>
  <c r="N118" i="29"/>
  <c r="N117" i="29"/>
  <c r="N116" i="29"/>
  <c r="N115" i="29"/>
  <c r="N114" i="29"/>
  <c r="N113" i="29"/>
  <c r="N110" i="29"/>
  <c r="N109" i="29"/>
  <c r="P95" i="29"/>
  <c r="D72" i="4" s="1"/>
  <c r="N94" i="29"/>
  <c r="N93" i="29" s="1"/>
  <c r="O92" i="29" s="1"/>
  <c r="Q92" i="29" s="1"/>
  <c r="N91" i="29"/>
  <c r="N90" i="29"/>
  <c r="N89" i="29"/>
  <c r="P86" i="29"/>
  <c r="Q84" i="29"/>
  <c r="R84" i="29" s="1"/>
  <c r="O83" i="29"/>
  <c r="Q83" i="29" s="1"/>
  <c r="R83" i="29" s="1"/>
  <c r="P79" i="29"/>
  <c r="P78" i="29" s="1"/>
  <c r="N77" i="29"/>
  <c r="N76" i="29" s="1"/>
  <c r="O75" i="29" s="1"/>
  <c r="Q75" i="29" s="1"/>
  <c r="N74" i="29"/>
  <c r="N73" i="29" s="1"/>
  <c r="O72" i="29" s="1"/>
  <c r="Q72" i="29" s="1"/>
  <c r="R72" i="29" s="1"/>
  <c r="N71" i="29"/>
  <c r="N70" i="29" s="1"/>
  <c r="N69" i="29"/>
  <c r="N68" i="29" s="1"/>
  <c r="N67" i="29"/>
  <c r="N66" i="29" s="1"/>
  <c r="N64" i="29"/>
  <c r="N63" i="29"/>
  <c r="N62" i="29"/>
  <c r="N59" i="29"/>
  <c r="N58" i="29"/>
  <c r="N57" i="29"/>
  <c r="N56" i="29"/>
  <c r="N55" i="29"/>
  <c r="P52" i="29"/>
  <c r="D30" i="4" s="1"/>
  <c r="N51" i="29"/>
  <c r="N50" i="29" s="1"/>
  <c r="O49" i="29" s="1"/>
  <c r="Q49" i="29" s="1"/>
  <c r="R49" i="29" s="1"/>
  <c r="N48" i="29"/>
  <c r="N47" i="29" s="1"/>
  <c r="N46" i="29"/>
  <c r="N45" i="29" s="1"/>
  <c r="N43" i="29"/>
  <c r="N42" i="29" s="1"/>
  <c r="N41" i="29"/>
  <c r="N40" i="29" s="1"/>
  <c r="N39" i="29"/>
  <c r="N38" i="29" s="1"/>
  <c r="N37" i="29"/>
  <c r="N36" i="29" s="1"/>
  <c r="N35" i="29"/>
  <c r="N34" i="29" s="1"/>
  <c r="N33" i="29"/>
  <c r="N32" i="29" s="1"/>
  <c r="N31" i="29"/>
  <c r="N30" i="29" s="1"/>
  <c r="N29" i="29"/>
  <c r="N28" i="29"/>
  <c r="N26" i="29"/>
  <c r="N25" i="29" s="1"/>
  <c r="N23" i="29"/>
  <c r="N22" i="29"/>
  <c r="N21" i="29"/>
  <c r="N20" i="29"/>
  <c r="N19" i="29"/>
  <c r="N18" i="29"/>
  <c r="N17" i="29"/>
  <c r="N16" i="29"/>
  <c r="N15" i="29"/>
  <c r="N14" i="29"/>
  <c r="N13" i="29"/>
  <c r="N12" i="29"/>
  <c r="N11" i="29"/>
  <c r="P8" i="29"/>
  <c r="D17" i="4" s="1"/>
  <c r="K17" i="5" s="1"/>
  <c r="O147" i="28"/>
  <c r="O146" i="28" s="1"/>
  <c r="P145" i="28" s="1"/>
  <c r="B76" i="2" s="1"/>
  <c r="Q143" i="28"/>
  <c r="R142" i="28"/>
  <c r="R141" i="28"/>
  <c r="Q137" i="28"/>
  <c r="O136" i="28"/>
  <c r="O135" i="28" s="1"/>
  <c r="P134" i="28" s="1"/>
  <c r="B35" i="2" s="1"/>
  <c r="F35" i="2" s="1"/>
  <c r="G35" i="2" s="1"/>
  <c r="Q133" i="28"/>
  <c r="O131" i="28"/>
  <c r="O130" i="28" s="1"/>
  <c r="O129" i="28"/>
  <c r="O128" i="28"/>
  <c r="O127" i="28"/>
  <c r="Q124" i="28"/>
  <c r="D64" i="2" s="1"/>
  <c r="O123" i="28"/>
  <c r="O122" i="28" s="1"/>
  <c r="P121" i="28" s="1"/>
  <c r="R121" i="28" s="1"/>
  <c r="O120" i="28"/>
  <c r="O119" i="28" s="1"/>
  <c r="P118" i="28" s="1"/>
  <c r="Q117" i="28"/>
  <c r="D59" i="2" s="1"/>
  <c r="O116" i="28"/>
  <c r="O115" i="28"/>
  <c r="O114" i="28"/>
  <c r="O113" i="28"/>
  <c r="O112" i="28"/>
  <c r="O111" i="28"/>
  <c r="O110" i="28"/>
  <c r="O109" i="28"/>
  <c r="O108" i="28"/>
  <c r="O107" i="28"/>
  <c r="O106" i="28"/>
  <c r="O105" i="28"/>
  <c r="O104" i="28"/>
  <c r="O103" i="28"/>
  <c r="O102" i="28"/>
  <c r="O101" i="28" s="1"/>
  <c r="O99" i="28"/>
  <c r="O98" i="28"/>
  <c r="O96" i="28"/>
  <c r="O95" i="28"/>
  <c r="O93" i="28"/>
  <c r="O92" i="28" s="1"/>
  <c r="O91" i="28"/>
  <c r="O90" i="28"/>
  <c r="O89" i="28"/>
  <c r="O87" i="28"/>
  <c r="O86" i="28" s="1"/>
  <c r="O85" i="28"/>
  <c r="O84" i="28" s="1"/>
  <c r="O83" i="28"/>
  <c r="O82" i="28"/>
  <c r="O80" i="28"/>
  <c r="O79" i="28"/>
  <c r="O78" i="28"/>
  <c r="O76" i="28"/>
  <c r="O75" i="28"/>
  <c r="O73" i="28"/>
  <c r="O72" i="28" s="1"/>
  <c r="O71" i="28"/>
  <c r="O70" i="28"/>
  <c r="O69" i="28" s="1"/>
  <c r="O68" i="28"/>
  <c r="O67" i="28" s="1"/>
  <c r="O66" i="28"/>
  <c r="O65" i="28" s="1"/>
  <c r="O64" i="28"/>
  <c r="O63" i="28" s="1"/>
  <c r="O62" i="28"/>
  <c r="O61" i="28"/>
  <c r="O60" i="28"/>
  <c r="O58" i="28"/>
  <c r="O57" i="28"/>
  <c r="O55" i="28"/>
  <c r="O54" i="28"/>
  <c r="O52" i="28"/>
  <c r="O51" i="28"/>
  <c r="O49" i="28"/>
  <c r="O48" i="28"/>
  <c r="O47" i="28"/>
  <c r="O46" i="28"/>
  <c r="O44" i="28"/>
  <c r="O43" i="28" s="1"/>
  <c r="O42" i="28"/>
  <c r="O41" i="28"/>
  <c r="O39" i="28"/>
  <c r="O38" i="28" s="1"/>
  <c r="O37" i="28"/>
  <c r="O36" i="28"/>
  <c r="O34" i="28"/>
  <c r="O33" i="28"/>
  <c r="O32" i="28"/>
  <c r="O31" i="28"/>
  <c r="O29" i="28"/>
  <c r="O28" i="28"/>
  <c r="O27" i="28"/>
  <c r="O26" i="28"/>
  <c r="O25" i="28"/>
  <c r="O23" i="28"/>
  <c r="O22" i="28" s="1"/>
  <c r="O21" i="28"/>
  <c r="O20" i="28" s="1"/>
  <c r="O19" i="28"/>
  <c r="O18" i="28"/>
  <c r="O16" i="28"/>
  <c r="O15" i="28" s="1"/>
  <c r="O14" i="28"/>
  <c r="O13" i="28" s="1"/>
  <c r="O12" i="28"/>
  <c r="O11" i="28" s="1"/>
  <c r="Q8" i="28"/>
  <c r="D51" i="2" s="1"/>
  <c r="S45" i="4" l="1"/>
  <c r="V45" i="4" s="1"/>
  <c r="K30" i="5"/>
  <c r="D66" i="4"/>
  <c r="K17" i="6" s="1"/>
  <c r="K72" i="5"/>
  <c r="K66" i="5" s="1"/>
  <c r="N194" i="29"/>
  <c r="N191" i="29"/>
  <c r="N197" i="29"/>
  <c r="O53" i="28"/>
  <c r="P100" i="28"/>
  <c r="Q132" i="28"/>
  <c r="O17" i="28"/>
  <c r="O74" i="28"/>
  <c r="O126" i="28"/>
  <c r="P125" i="28" s="1"/>
  <c r="R144" i="28"/>
  <c r="N108" i="29"/>
  <c r="O107" i="29" s="1"/>
  <c r="Q107" i="29" s="1"/>
  <c r="R107" i="29" s="1"/>
  <c r="N239" i="29"/>
  <c r="N274" i="29"/>
  <c r="N271" i="29"/>
  <c r="P85" i="29"/>
  <c r="D62" i="4"/>
  <c r="K62" i="5" s="1"/>
  <c r="K59" i="5" s="1"/>
  <c r="N17" i="4"/>
  <c r="K18" i="2"/>
  <c r="Q163" i="29"/>
  <c r="R163" i="29" s="1"/>
  <c r="N230" i="29"/>
  <c r="N242" i="29"/>
  <c r="O59" i="28"/>
  <c r="O81" i="28"/>
  <c r="O88" i="28"/>
  <c r="R100" i="28"/>
  <c r="S100" i="28" s="1"/>
  <c r="B22" i="2"/>
  <c r="O77" i="28"/>
  <c r="Q7" i="28"/>
  <c r="O97" i="28"/>
  <c r="O94" i="28"/>
  <c r="O24" i="28"/>
  <c r="O50" i="28"/>
  <c r="O45" i="28"/>
  <c r="O30" i="28"/>
  <c r="O35" i="28"/>
  <c r="O40" i="28"/>
  <c r="O56" i="28"/>
  <c r="N27" i="29"/>
  <c r="O24" i="29" s="1"/>
  <c r="Q24" i="29" s="1"/>
  <c r="R24" i="29" s="1"/>
  <c r="N263" i="29"/>
  <c r="P7" i="29"/>
  <c r="N120" i="29"/>
  <c r="O119" i="29" s="1"/>
  <c r="Q119" i="29" s="1"/>
  <c r="R119" i="29" s="1"/>
  <c r="N176" i="29"/>
  <c r="O175" i="29" s="1"/>
  <c r="Q175" i="29" s="1"/>
  <c r="R175" i="29" s="1"/>
  <c r="N254" i="29"/>
  <c r="N424" i="29"/>
  <c r="O423" i="29" s="1"/>
  <c r="Q423" i="29" s="1"/>
  <c r="Q81" i="29"/>
  <c r="Q179" i="29"/>
  <c r="R179" i="29" s="1"/>
  <c r="N227" i="29"/>
  <c r="N233" i="29"/>
  <c r="N266" i="29"/>
  <c r="N251" i="29"/>
  <c r="N257" i="29"/>
  <c r="N10" i="29"/>
  <c r="O9" i="29" s="1"/>
  <c r="Q9" i="29" s="1"/>
  <c r="R9" i="29" s="1"/>
  <c r="N112" i="29"/>
  <c r="O111" i="29" s="1"/>
  <c r="Q111" i="29" s="1"/>
  <c r="R111" i="29" s="1"/>
  <c r="N211" i="29"/>
  <c r="O433" i="29"/>
  <c r="Q433" i="29" s="1"/>
  <c r="N61" i="29"/>
  <c r="O60" i="29" s="1"/>
  <c r="Q60" i="29" s="1"/>
  <c r="R60" i="29" s="1"/>
  <c r="N132" i="29"/>
  <c r="O131" i="29" s="1"/>
  <c r="Q131" i="29" s="1"/>
  <c r="R131" i="29" s="1"/>
  <c r="N138" i="29"/>
  <c r="O137" i="29" s="1"/>
  <c r="Q137" i="29" s="1"/>
  <c r="R137" i="29" s="1"/>
  <c r="N152" i="29"/>
  <c r="O151" i="29" s="1"/>
  <c r="Q151" i="29" s="1"/>
  <c r="R151" i="29" s="1"/>
  <c r="N157" i="29"/>
  <c r="O156" i="29" s="1"/>
  <c r="Q156" i="29" s="1"/>
  <c r="R156" i="29" s="1"/>
  <c r="N220" i="29"/>
  <c r="N54" i="29"/>
  <c r="O53" i="29" s="1"/>
  <c r="Q53" i="29" s="1"/>
  <c r="R53" i="29" s="1"/>
  <c r="N172" i="29"/>
  <c r="O171" i="29" s="1"/>
  <c r="Q171" i="29" s="1"/>
  <c r="R171" i="29" s="1"/>
  <c r="N200" i="29"/>
  <c r="N205" i="29"/>
  <c r="N216" i="29"/>
  <c r="N236" i="29"/>
  <c r="N245" i="29"/>
  <c r="N260" i="29"/>
  <c r="N277" i="29"/>
  <c r="O65" i="29"/>
  <c r="Q65" i="29" s="1"/>
  <c r="R65" i="29" s="1"/>
  <c r="O44" i="29"/>
  <c r="Q44" i="29" s="1"/>
  <c r="R44" i="29" s="1"/>
  <c r="Q82" i="29"/>
  <c r="N88" i="29"/>
  <c r="O87" i="29" s="1"/>
  <c r="N208" i="29"/>
  <c r="N224" i="29"/>
  <c r="N248" i="29"/>
  <c r="N280" i="29"/>
  <c r="P117" i="28"/>
  <c r="R118" i="28"/>
  <c r="S118" i="28" s="1"/>
  <c r="R145" i="28"/>
  <c r="S145" i="28" s="1"/>
  <c r="P143" i="28"/>
  <c r="R143" i="28" s="1"/>
  <c r="S143" i="28" s="1"/>
  <c r="R134" i="28"/>
  <c r="S134" i="28" s="1"/>
  <c r="P133" i="28"/>
  <c r="Q6" i="28" l="1"/>
  <c r="Q5" i="28" s="1"/>
  <c r="O10" i="28"/>
  <c r="P9" i="28" s="1"/>
  <c r="P8" i="28" s="1"/>
  <c r="B51" i="2" s="1"/>
  <c r="R117" i="28"/>
  <c r="S117" i="28" s="1"/>
  <c r="B59" i="2"/>
  <c r="P6" i="29"/>
  <c r="P5" i="29" s="1"/>
  <c r="B17" i="2"/>
  <c r="B10" i="6" s="1"/>
  <c r="F22" i="2"/>
  <c r="G22" i="2" s="1"/>
  <c r="O190" i="29"/>
  <c r="Q190" i="29" s="1"/>
  <c r="Q440" i="29"/>
  <c r="O52" i="29"/>
  <c r="Q80" i="29"/>
  <c r="O79" i="29"/>
  <c r="O95" i="29"/>
  <c r="Q96" i="29"/>
  <c r="R96" i="29" s="1"/>
  <c r="O86" i="29"/>
  <c r="B62" i="4" s="1"/>
  <c r="I62" i="5" s="1"/>
  <c r="Q87" i="29"/>
  <c r="R87" i="29" s="1"/>
  <c r="Q8" i="29"/>
  <c r="O8" i="29"/>
  <c r="R133" i="28"/>
  <c r="S133" i="28" s="1"/>
  <c r="R125" i="28"/>
  <c r="S125" i="28" s="1"/>
  <c r="P124" i="28"/>
  <c r="R137" i="28"/>
  <c r="S137" i="28" s="1"/>
  <c r="R138" i="28"/>
  <c r="S138" i="28" s="1"/>
  <c r="M62" i="5" l="1"/>
  <c r="N62" i="5" s="1"/>
  <c r="R9" i="28"/>
  <c r="S9" i="28" s="1"/>
  <c r="R124" i="28"/>
  <c r="S124" i="28" s="1"/>
  <c r="B64" i="2"/>
  <c r="J18" i="2" s="1"/>
  <c r="Q52" i="29"/>
  <c r="R52" i="29" s="1"/>
  <c r="B30" i="4"/>
  <c r="O7" i="29"/>
  <c r="B17" i="4"/>
  <c r="Q95" i="29"/>
  <c r="R95" i="29" s="1"/>
  <c r="B72" i="4"/>
  <c r="I72" i="5" s="1"/>
  <c r="P132" i="28"/>
  <c r="R132" i="28" s="1"/>
  <c r="S132" i="28" s="1"/>
  <c r="O189" i="29"/>
  <c r="Q86" i="29"/>
  <c r="R8" i="29"/>
  <c r="Q79" i="29"/>
  <c r="O78" i="29"/>
  <c r="Q78" i="29" s="1"/>
  <c r="R78" i="29" s="1"/>
  <c r="P7" i="28"/>
  <c r="R8" i="28"/>
  <c r="S8" i="28" s="1"/>
  <c r="M72" i="5" l="1"/>
  <c r="N72" i="5" s="1"/>
  <c r="M45" i="4"/>
  <c r="P45" i="4" s="1"/>
  <c r="I30" i="5"/>
  <c r="F17" i="4"/>
  <c r="I17" i="5"/>
  <c r="Q189" i="29"/>
  <c r="R189" i="29" s="1"/>
  <c r="B81" i="4"/>
  <c r="I81" i="5" s="1"/>
  <c r="O85" i="29"/>
  <c r="O6" i="29" s="1"/>
  <c r="O5" i="29" s="1"/>
  <c r="V5" i="29" s="1"/>
  <c r="Q7" i="29"/>
  <c r="R7" i="29" s="1"/>
  <c r="R86" i="29"/>
  <c r="P6" i="28"/>
  <c r="P5" i="28" s="1"/>
  <c r="R7" i="28"/>
  <c r="S7" i="28" s="1"/>
  <c r="M17" i="4" l="1"/>
  <c r="M81" i="5"/>
  <c r="N81" i="5" s="1"/>
  <c r="M30" i="5"/>
  <c r="N30" i="5" s="1"/>
  <c r="M17" i="5"/>
  <c r="N17" i="5" s="1"/>
  <c r="Q85" i="29"/>
  <c r="R85" i="29" s="1"/>
  <c r="Q6" i="29"/>
  <c r="R6" i="29" s="1"/>
  <c r="R5" i="28"/>
  <c r="S5" i="28" s="1"/>
  <c r="R6" i="28"/>
  <c r="S6" i="28" s="1"/>
  <c r="Q5" i="29" l="1"/>
  <c r="R5" i="29" s="1"/>
  <c r="F50" i="2" l="1"/>
  <c r="R114" i="25" l="1"/>
  <c r="P105" i="25"/>
  <c r="P104" i="25"/>
  <c r="P103" i="25"/>
  <c r="R100" i="25"/>
  <c r="R99" i="25" s="1"/>
  <c r="S81" i="25"/>
  <c r="T81" i="25" s="1"/>
  <c r="R80" i="25"/>
  <c r="P79" i="25"/>
  <c r="P78" i="25" s="1"/>
  <c r="Q77" i="25" s="1"/>
  <c r="Q76" i="25" s="1"/>
  <c r="R76" i="25"/>
  <c r="P74" i="25"/>
  <c r="P73" i="25" s="1"/>
  <c r="Q72" i="25" s="1"/>
  <c r="S72" i="25" s="1"/>
  <c r="P71" i="25"/>
  <c r="P70" i="25"/>
  <c r="P67" i="25"/>
  <c r="P66" i="25"/>
  <c r="P63" i="25"/>
  <c r="P62" i="25" s="1"/>
  <c r="Q61" i="25" s="1"/>
  <c r="P60" i="25"/>
  <c r="P59" i="25" s="1"/>
  <c r="Q58" i="25" s="1"/>
  <c r="S58" i="25" s="1"/>
  <c r="T58" i="25" s="1"/>
  <c r="P57" i="25"/>
  <c r="P56" i="25" s="1"/>
  <c r="Q55" i="25" s="1"/>
  <c r="P54" i="25"/>
  <c r="P53" i="25" s="1"/>
  <c r="P52" i="25"/>
  <c r="P51" i="25" s="1"/>
  <c r="P49" i="25"/>
  <c r="P48" i="25" s="1"/>
  <c r="Q47" i="25" s="1"/>
  <c r="R36" i="25"/>
  <c r="D28" i="4" s="1"/>
  <c r="K28" i="5" s="1"/>
  <c r="P46" i="25"/>
  <c r="P45" i="25" s="1"/>
  <c r="Q44" i="25" s="1"/>
  <c r="P43" i="25"/>
  <c r="P42" i="25"/>
  <c r="P40" i="25"/>
  <c r="G41" i="25" s="1"/>
  <c r="P41" i="25" s="1"/>
  <c r="P39" i="25"/>
  <c r="P35" i="25"/>
  <c r="P34" i="25" s="1"/>
  <c r="Q33" i="25" s="1"/>
  <c r="S33" i="25" s="1"/>
  <c r="T33" i="25" s="1"/>
  <c r="P32" i="25"/>
  <c r="P31" i="25" s="1"/>
  <c r="Q30" i="25" s="1"/>
  <c r="P29" i="25"/>
  <c r="P28" i="25" s="1"/>
  <c r="P27" i="25"/>
  <c r="P26" i="25" s="1"/>
  <c r="P25" i="25"/>
  <c r="P24" i="25" s="1"/>
  <c r="P23" i="25"/>
  <c r="P22" i="25" s="1"/>
  <c r="P21" i="25"/>
  <c r="P20" i="25" s="1"/>
  <c r="P19" i="25"/>
  <c r="P18" i="25" s="1"/>
  <c r="P17" i="25"/>
  <c r="P16" i="25"/>
  <c r="P15" i="25" s="1"/>
  <c r="P14" i="25"/>
  <c r="P13" i="25" s="1"/>
  <c r="P11" i="25"/>
  <c r="P10" i="25" s="1"/>
  <c r="Q9" i="25" s="1"/>
  <c r="O28" i="24"/>
  <c r="P27" i="24" s="1"/>
  <c r="Q26" i="24"/>
  <c r="Q25" i="24" s="1"/>
  <c r="Q24" i="24" s="1"/>
  <c r="O22" i="24"/>
  <c r="Q20" i="24"/>
  <c r="O19" i="24"/>
  <c r="O18" i="24" s="1"/>
  <c r="B33" i="2"/>
  <c r="F33" i="2" s="1"/>
  <c r="G33" i="2" s="1"/>
  <c r="Q12" i="24"/>
  <c r="Q11" i="24"/>
  <c r="Q6" i="24" s="1"/>
  <c r="Q5" i="24" s="1"/>
  <c r="Q8" i="24"/>
  <c r="Q7" i="24"/>
  <c r="S76" i="25" l="1"/>
  <c r="S43" i="4"/>
  <c r="R113" i="25"/>
  <c r="D100" i="4"/>
  <c r="K100" i="5" s="1"/>
  <c r="P26" i="24"/>
  <c r="P25" i="24" s="1"/>
  <c r="B72" i="2"/>
  <c r="B15" i="2"/>
  <c r="P21" i="24"/>
  <c r="P20" i="24" s="1"/>
  <c r="P11" i="24" s="1"/>
  <c r="P6" i="24" s="1"/>
  <c r="P65" i="25"/>
  <c r="Q64" i="25" s="1"/>
  <c r="S64" i="25" s="1"/>
  <c r="T64" i="25" s="1"/>
  <c r="R75" i="25"/>
  <c r="D41" i="4"/>
  <c r="R8" i="25"/>
  <c r="D15" i="4" s="1"/>
  <c r="S47" i="25"/>
  <c r="T47" i="25" s="1"/>
  <c r="S30" i="25"/>
  <c r="T30" i="25" s="1"/>
  <c r="S55" i="25"/>
  <c r="T55" i="25" s="1"/>
  <c r="S61" i="25"/>
  <c r="T61" i="25" s="1"/>
  <c r="S44" i="25"/>
  <c r="T44" i="25" s="1"/>
  <c r="Q50" i="25"/>
  <c r="S50" i="25" s="1"/>
  <c r="T50" i="25" s="1"/>
  <c r="P69" i="25"/>
  <c r="Q68" i="25" s="1"/>
  <c r="S68" i="25" s="1"/>
  <c r="T68" i="25" s="1"/>
  <c r="P102" i="25"/>
  <c r="Q101" i="25" s="1"/>
  <c r="S9" i="25"/>
  <c r="T9" i="25" s="1"/>
  <c r="Q12" i="25"/>
  <c r="S12" i="25" s="1"/>
  <c r="T12" i="25" s="1"/>
  <c r="P38" i="25"/>
  <c r="Q37" i="25" s="1"/>
  <c r="Q114" i="25"/>
  <c r="B100" i="4" s="1"/>
  <c r="I100" i="5" s="1"/>
  <c r="S115" i="25"/>
  <c r="T115" i="25" s="1"/>
  <c r="Q80" i="25"/>
  <c r="B41" i="4" s="1"/>
  <c r="R9" i="24"/>
  <c r="S9" i="24" s="1"/>
  <c r="R21" i="24"/>
  <c r="S21" i="24" s="1"/>
  <c r="R20" i="24"/>
  <c r="S20" i="24" s="1"/>
  <c r="R13" i="24"/>
  <c r="S13" i="24" s="1"/>
  <c r="R27" i="24"/>
  <c r="S27" i="24" s="1"/>
  <c r="T43" i="4" l="1"/>
  <c r="V43" i="4" s="1"/>
  <c r="K41" i="5"/>
  <c r="M100" i="5"/>
  <c r="N100" i="5" s="1"/>
  <c r="N15" i="4"/>
  <c r="K15" i="5"/>
  <c r="N43" i="4"/>
  <c r="I41" i="5"/>
  <c r="Q100" i="25"/>
  <c r="B70" i="4"/>
  <c r="I70" i="5" s="1"/>
  <c r="J16" i="2"/>
  <c r="S101" i="25"/>
  <c r="T101" i="25" s="1"/>
  <c r="R7" i="25"/>
  <c r="R6" i="25" s="1"/>
  <c r="R5" i="25" s="1"/>
  <c r="Q8" i="25"/>
  <c r="Q113" i="25"/>
  <c r="S113" i="25" s="1"/>
  <c r="T113" i="25" s="1"/>
  <c r="S114" i="25"/>
  <c r="T114" i="25" s="1"/>
  <c r="Q36" i="25"/>
  <c r="S37" i="25"/>
  <c r="T37" i="25" s="1"/>
  <c r="S80" i="25"/>
  <c r="T80" i="25" s="1"/>
  <c r="Q75" i="25"/>
  <c r="S75" i="25" s="1"/>
  <c r="T75" i="25" s="1"/>
  <c r="Q99" i="25"/>
  <c r="S99" i="25" s="1"/>
  <c r="T99" i="25" s="1"/>
  <c r="S100" i="25"/>
  <c r="T100" i="25" s="1"/>
  <c r="R26" i="24"/>
  <c r="S26" i="24" s="1"/>
  <c r="R11" i="24"/>
  <c r="S11" i="24" s="1"/>
  <c r="R12" i="24"/>
  <c r="S12" i="24" s="1"/>
  <c r="R8" i="24"/>
  <c r="S8" i="24" s="1"/>
  <c r="M70" i="5" l="1"/>
  <c r="N70" i="5" s="1"/>
  <c r="M41" i="5"/>
  <c r="N41" i="5" s="1"/>
  <c r="S8" i="25"/>
  <c r="T8" i="25" s="1"/>
  <c r="B15" i="4"/>
  <c r="S36" i="25"/>
  <c r="T36" i="25" s="1"/>
  <c r="B28" i="4"/>
  <c r="Q7" i="25"/>
  <c r="Q6" i="25" s="1"/>
  <c r="R7" i="24"/>
  <c r="S7" i="24" s="1"/>
  <c r="P24" i="24"/>
  <c r="R25" i="24"/>
  <c r="S25" i="24" s="1"/>
  <c r="M15" i="4" l="1"/>
  <c r="I15" i="5"/>
  <c r="M43" i="4"/>
  <c r="P43" i="4" s="1"/>
  <c r="I28" i="5"/>
  <c r="R24" i="24"/>
  <c r="S24" i="24" s="1"/>
  <c r="P5" i="24"/>
  <c r="S7" i="25"/>
  <c r="T7" i="25" s="1"/>
  <c r="R6" i="24"/>
  <c r="M28" i="5" l="1"/>
  <c r="N28" i="5" s="1"/>
  <c r="M15" i="5"/>
  <c r="N15" i="5" s="1"/>
  <c r="Q5" i="25"/>
  <c r="S6" i="25"/>
  <c r="T6" i="25" s="1"/>
  <c r="R5" i="24"/>
  <c r="S5" i="24" s="1"/>
  <c r="S6" i="24"/>
  <c r="S5" i="25" l="1"/>
  <c r="T5" i="25" s="1"/>
  <c r="X5" i="25"/>
  <c r="S207" i="21"/>
  <c r="Q198" i="21"/>
  <c r="Q197" i="21"/>
  <c r="Q196" i="21"/>
  <c r="R195" i="21" s="1"/>
  <c r="T195" i="21" s="1"/>
  <c r="U195" i="21" s="1"/>
  <c r="Q194" i="21"/>
  <c r="Q193" i="21"/>
  <c r="Q188" i="21"/>
  <c r="Q187" i="21"/>
  <c r="Q186" i="21" s="1"/>
  <c r="R185" i="21" s="1"/>
  <c r="S183" i="21"/>
  <c r="T177" i="21"/>
  <c r="S118" i="21"/>
  <c r="S117" i="21" s="1"/>
  <c r="Q116" i="21"/>
  <c r="Q115" i="21"/>
  <c r="Q112" i="21"/>
  <c r="Q111" i="21" s="1"/>
  <c r="R110" i="21" s="1"/>
  <c r="T110" i="21" s="1"/>
  <c r="Q109" i="21"/>
  <c r="Q108" i="21" s="1"/>
  <c r="Q107" i="21"/>
  <c r="Q106" i="21" s="1"/>
  <c r="Q104" i="21"/>
  <c r="Q103" i="21"/>
  <c r="Q100" i="21"/>
  <c r="Q99" i="21"/>
  <c r="Q98" i="21"/>
  <c r="Q95" i="21"/>
  <c r="Q94" i="21"/>
  <c r="Q93" i="21"/>
  <c r="Q90" i="21"/>
  <c r="Q89" i="21"/>
  <c r="Q88" i="21"/>
  <c r="Q85" i="21"/>
  <c r="Q84" i="21"/>
  <c r="Q83" i="21"/>
  <c r="Q80" i="21"/>
  <c r="Q79" i="21" s="1"/>
  <c r="R78" i="21" s="1"/>
  <c r="T78" i="21" s="1"/>
  <c r="U78" i="21" s="1"/>
  <c r="Q77" i="21"/>
  <c r="Q76" i="21" s="1"/>
  <c r="Q75" i="21"/>
  <c r="Q74" i="21" s="1"/>
  <c r="Q73" i="21"/>
  <c r="Q72" i="21" s="1"/>
  <c r="Q70" i="21"/>
  <c r="Q69" i="21" s="1"/>
  <c r="R68" i="21" s="1"/>
  <c r="T68" i="21" s="1"/>
  <c r="Q67" i="21"/>
  <c r="Q66" i="21" s="1"/>
  <c r="Q65" i="21"/>
  <c r="Q64" i="21"/>
  <c r="Q63" i="21"/>
  <c r="Q62" i="21"/>
  <c r="Q59" i="21"/>
  <c r="Q58" i="21"/>
  <c r="Q57" i="21" s="1"/>
  <c r="R56" i="21" s="1"/>
  <c r="T56" i="21" s="1"/>
  <c r="Q55" i="21"/>
  <c r="Q54" i="21" s="1"/>
  <c r="Q53" i="21"/>
  <c r="Q52" i="21"/>
  <c r="Q51" i="21"/>
  <c r="Q49" i="21"/>
  <c r="G50" i="21" s="1"/>
  <c r="Q50" i="21" s="1"/>
  <c r="Q48" i="21"/>
  <c r="S45" i="21"/>
  <c r="Q44" i="21"/>
  <c r="Q43" i="21" s="1"/>
  <c r="R42" i="21" s="1"/>
  <c r="T42" i="21" s="1"/>
  <c r="U42" i="21" s="1"/>
  <c r="Q41" i="21"/>
  <c r="Q40" i="21" s="1"/>
  <c r="Q39" i="21"/>
  <c r="Q38" i="21"/>
  <c r="Q37" i="21"/>
  <c r="Q35" i="21"/>
  <c r="Q34" i="21"/>
  <c r="Q32" i="21"/>
  <c r="Q31" i="21"/>
  <c r="Q30" i="21"/>
  <c r="Q28" i="21"/>
  <c r="Q27" i="21"/>
  <c r="Q25" i="21"/>
  <c r="Q24" i="21" s="1"/>
  <c r="Q23" i="21"/>
  <c r="Q22" i="21" s="1"/>
  <c r="Q21" i="21"/>
  <c r="Q20" i="21"/>
  <c r="Q18" i="21"/>
  <c r="Q17" i="21"/>
  <c r="Q16" i="21"/>
  <c r="Q13" i="21"/>
  <c r="Q12" i="21"/>
  <c r="Q11" i="21"/>
  <c r="S8" i="21"/>
  <c r="O33" i="20"/>
  <c r="O32" i="20" s="1"/>
  <c r="B70" i="2" s="1"/>
  <c r="Q30" i="20"/>
  <c r="Q29" i="20" s="1"/>
  <c r="Q28" i="20" s="1"/>
  <c r="O27" i="20"/>
  <c r="O26" i="20" s="1"/>
  <c r="B13" i="2" s="1"/>
  <c r="Q24" i="20"/>
  <c r="P21" i="20"/>
  <c r="Q21" i="20"/>
  <c r="O20" i="20"/>
  <c r="O19" i="20"/>
  <c r="B31" i="2" s="1"/>
  <c r="Q17" i="20"/>
  <c r="O15" i="20"/>
  <c r="O14" i="20" s="1"/>
  <c r="Q12" i="20"/>
  <c r="O11" i="20"/>
  <c r="O10" i="20" s="1"/>
  <c r="Q8" i="20"/>
  <c r="R145" i="21" l="1"/>
  <c r="T145" i="21" s="1"/>
  <c r="U145" i="21" s="1"/>
  <c r="T122" i="21"/>
  <c r="U122" i="21" s="1"/>
  <c r="Y11" i="21"/>
  <c r="D13" i="4"/>
  <c r="K13" i="5" s="1"/>
  <c r="Q19" i="21"/>
  <c r="Q26" i="21"/>
  <c r="N13" i="4"/>
  <c r="Y12" i="21"/>
  <c r="Y52" i="21"/>
  <c r="Y49" i="21" s="1"/>
  <c r="D26" i="4" s="1"/>
  <c r="S206" i="21"/>
  <c r="D98" i="4"/>
  <c r="K98" i="5" s="1"/>
  <c r="K96" i="5" s="1"/>
  <c r="Q114" i="21"/>
  <c r="R113" i="21" s="1"/>
  <c r="X50" i="21" s="1"/>
  <c r="B51" i="4" s="1"/>
  <c r="T113" i="21"/>
  <c r="U113" i="21" s="1"/>
  <c r="Q82" i="21"/>
  <c r="R81" i="21" s="1"/>
  <c r="T81" i="21" s="1"/>
  <c r="U81" i="21" s="1"/>
  <c r="R21" i="20"/>
  <c r="Q87" i="21"/>
  <c r="R86" i="21" s="1"/>
  <c r="T86" i="21" s="1"/>
  <c r="U86" i="21" s="1"/>
  <c r="Q97" i="21"/>
  <c r="R96" i="21" s="1"/>
  <c r="T96" i="21" s="1"/>
  <c r="U96" i="21" s="1"/>
  <c r="Q33" i="21"/>
  <c r="Q102" i="21"/>
  <c r="R101" i="21" s="1"/>
  <c r="T101" i="21" s="1"/>
  <c r="U101" i="21" s="1"/>
  <c r="Q192" i="21"/>
  <c r="R191" i="21" s="1"/>
  <c r="T191" i="21" s="1"/>
  <c r="U191" i="21" s="1"/>
  <c r="Q7" i="20"/>
  <c r="D56" i="2"/>
  <c r="K14" i="2" s="1"/>
  <c r="Q16" i="20"/>
  <c r="R22" i="20"/>
  <c r="F31" i="2"/>
  <c r="G31" i="2" s="1"/>
  <c r="R105" i="21"/>
  <c r="T105" i="21" s="1"/>
  <c r="U105" i="21" s="1"/>
  <c r="S7" i="21"/>
  <c r="S6" i="21" s="1"/>
  <c r="S5" i="21" s="1"/>
  <c r="Q15" i="21"/>
  <c r="Q29" i="21"/>
  <c r="Q47" i="21"/>
  <c r="R46" i="21" s="1"/>
  <c r="T46" i="21" s="1"/>
  <c r="U46" i="21" s="1"/>
  <c r="Q61" i="21"/>
  <c r="R60" i="21" s="1"/>
  <c r="T60" i="21" s="1"/>
  <c r="U60" i="21" s="1"/>
  <c r="Q10" i="21"/>
  <c r="R9" i="21" s="1"/>
  <c r="T9" i="21" s="1"/>
  <c r="U9" i="21" s="1"/>
  <c r="Q36" i="21"/>
  <c r="Q92" i="21"/>
  <c r="R91" i="21" s="1"/>
  <c r="T91" i="21" s="1"/>
  <c r="U91" i="21" s="1"/>
  <c r="R71" i="21"/>
  <c r="T71" i="21" s="1"/>
  <c r="U71" i="21" s="1"/>
  <c r="T185" i="21"/>
  <c r="U185" i="21" s="1"/>
  <c r="R207" i="21"/>
  <c r="B98" i="4" s="1"/>
  <c r="I98" i="5" s="1"/>
  <c r="T208" i="21"/>
  <c r="U208" i="21" s="1"/>
  <c r="R18" i="20"/>
  <c r="S18" i="20" s="1"/>
  <c r="P17" i="20"/>
  <c r="R13" i="20"/>
  <c r="S13" i="20" s="1"/>
  <c r="P12" i="20"/>
  <c r="P8" i="20"/>
  <c r="B47" i="2" s="1"/>
  <c r="R9" i="20"/>
  <c r="S9" i="20" s="1"/>
  <c r="R25" i="20"/>
  <c r="S25" i="20" s="1"/>
  <c r="R24" i="20"/>
  <c r="S24" i="20" s="1"/>
  <c r="R31" i="20"/>
  <c r="S31" i="20" s="1"/>
  <c r="K26" i="5" l="1"/>
  <c r="S41" i="4"/>
  <c r="V41" i="4" s="1"/>
  <c r="X185" i="21"/>
  <c r="B68" i="4" s="1"/>
  <c r="M98" i="5"/>
  <c r="N98" i="5" s="1"/>
  <c r="I96" i="5"/>
  <c r="M96" i="5" s="1"/>
  <c r="N96" i="5" s="1"/>
  <c r="R121" i="21"/>
  <c r="K58" i="5"/>
  <c r="R59" i="5"/>
  <c r="Y14" i="21"/>
  <c r="I51" i="5"/>
  <c r="M51" i="5" s="1"/>
  <c r="N51" i="5" s="1"/>
  <c r="F51" i="4"/>
  <c r="G51" i="4" s="1"/>
  <c r="R45" i="21"/>
  <c r="R184" i="21"/>
  <c r="Q6" i="20"/>
  <c r="Q5" i="20" s="1"/>
  <c r="R12" i="20"/>
  <c r="S12" i="20" s="1"/>
  <c r="B56" i="2"/>
  <c r="R14" i="21"/>
  <c r="T14" i="21" s="1"/>
  <c r="U14" i="21" s="1"/>
  <c r="R206" i="21"/>
  <c r="T206" i="21" s="1"/>
  <c r="U206" i="21" s="1"/>
  <c r="T207" i="21"/>
  <c r="U207" i="21" s="1"/>
  <c r="T184" i="21"/>
  <c r="U184" i="21" s="1"/>
  <c r="R183" i="21"/>
  <c r="T183" i="21" s="1"/>
  <c r="U183" i="21" s="1"/>
  <c r="T119" i="21"/>
  <c r="R118" i="21"/>
  <c r="R17" i="20"/>
  <c r="S17" i="20" s="1"/>
  <c r="P16" i="20"/>
  <c r="R16" i="20" s="1"/>
  <c r="S16" i="20" s="1"/>
  <c r="R30" i="20"/>
  <c r="S30" i="20" s="1"/>
  <c r="P7" i="20"/>
  <c r="R8" i="20"/>
  <c r="S8" i="20" s="1"/>
  <c r="I68" i="5" l="1"/>
  <c r="M68" i="5" s="1"/>
  <c r="N68" i="5" s="1"/>
  <c r="F68" i="4"/>
  <c r="G68" i="4" s="1"/>
  <c r="T121" i="21"/>
  <c r="U121" i="21" s="1"/>
  <c r="X13" i="21"/>
  <c r="B39" i="4"/>
  <c r="T45" i="21"/>
  <c r="U45" i="21" s="1"/>
  <c r="X12" i="21"/>
  <c r="X52" i="21"/>
  <c r="X49" i="21" s="1"/>
  <c r="B26" i="4" s="1"/>
  <c r="J14" i="2"/>
  <c r="R8" i="21"/>
  <c r="T118" i="21"/>
  <c r="R117" i="21"/>
  <c r="T117" i="21" s="1"/>
  <c r="U117" i="21" s="1"/>
  <c r="R28" i="20"/>
  <c r="S28" i="20" s="1"/>
  <c r="R29" i="20"/>
  <c r="S29" i="20" s="1"/>
  <c r="R7" i="20"/>
  <c r="S7" i="20" s="1"/>
  <c r="P6" i="20"/>
  <c r="X11" i="21" l="1"/>
  <c r="X14" i="21" s="1"/>
  <c r="B13" i="4"/>
  <c r="I13" i="5" s="1"/>
  <c r="M13" i="5" s="1"/>
  <c r="N13" i="5" s="1"/>
  <c r="I39" i="5"/>
  <c r="M39" i="5" s="1"/>
  <c r="N39" i="5" s="1"/>
  <c r="N41" i="4"/>
  <c r="I26" i="5"/>
  <c r="M26" i="5" s="1"/>
  <c r="N26" i="5" s="1"/>
  <c r="M13" i="4"/>
  <c r="M41" i="4"/>
  <c r="R7" i="21"/>
  <c r="T8" i="21"/>
  <c r="U8" i="21" s="1"/>
  <c r="R6" i="20"/>
  <c r="S6" i="20" s="1"/>
  <c r="P5" i="20"/>
  <c r="R5" i="20" s="1"/>
  <c r="S5" i="20" s="1"/>
  <c r="P41" i="4" l="1"/>
  <c r="R6" i="21"/>
  <c r="T7" i="21"/>
  <c r="U7" i="21" s="1"/>
  <c r="S145" i="19"/>
  <c r="T145" i="19" s="1"/>
  <c r="Q101" i="19"/>
  <c r="R98" i="19"/>
  <c r="W14" i="19" s="1"/>
  <c r="W15" i="19" s="1"/>
  <c r="P97" i="19"/>
  <c r="P96" i="19" s="1"/>
  <c r="Q95" i="19" s="1"/>
  <c r="P94" i="19"/>
  <c r="P93" i="19" s="1"/>
  <c r="Q92" i="19" s="1"/>
  <c r="S92" i="19" s="1"/>
  <c r="P91" i="19"/>
  <c r="P90" i="19" s="1"/>
  <c r="Q89" i="19" s="1"/>
  <c r="S89" i="19" s="1"/>
  <c r="T89" i="19" s="1"/>
  <c r="P88" i="19"/>
  <c r="P87" i="19"/>
  <c r="P84" i="19"/>
  <c r="P83" i="19"/>
  <c r="P80" i="19"/>
  <c r="P79" i="19" s="1"/>
  <c r="Q78" i="19" s="1"/>
  <c r="S78" i="19" s="1"/>
  <c r="S77" i="19"/>
  <c r="T77" i="19" s="1"/>
  <c r="S76" i="19"/>
  <c r="T76" i="19" s="1"/>
  <c r="P75" i="19"/>
  <c r="P74" i="19" s="1"/>
  <c r="Q73" i="19" s="1"/>
  <c r="S73" i="19" s="1"/>
  <c r="T73" i="19" s="1"/>
  <c r="P72" i="19"/>
  <c r="P71" i="19" s="1"/>
  <c r="Q70" i="19" s="1"/>
  <c r="S70" i="19" s="1"/>
  <c r="T70" i="19" s="1"/>
  <c r="P69" i="19"/>
  <c r="P68" i="19" s="1"/>
  <c r="Q67" i="19" s="1"/>
  <c r="S67" i="19" s="1"/>
  <c r="T67" i="19" s="1"/>
  <c r="P66" i="19"/>
  <c r="P65" i="19" s="1"/>
  <c r="Q64" i="19" s="1"/>
  <c r="P63" i="19"/>
  <c r="P60" i="19"/>
  <c r="P59" i="19" s="1"/>
  <c r="Q58" i="19" s="1"/>
  <c r="S58" i="19" s="1"/>
  <c r="T58" i="19" s="1"/>
  <c r="P57" i="19"/>
  <c r="P56" i="19"/>
  <c r="P54" i="19"/>
  <c r="P53" i="19" s="1"/>
  <c r="P52" i="19"/>
  <c r="P51" i="19"/>
  <c r="P49" i="19"/>
  <c r="G50" i="19" s="1"/>
  <c r="P50" i="19" s="1"/>
  <c r="P48" i="19"/>
  <c r="Q42" i="19"/>
  <c r="S42" i="19" s="1"/>
  <c r="T42" i="19" s="1"/>
  <c r="P40" i="19"/>
  <c r="Q39" i="19" s="1"/>
  <c r="S39" i="19" s="1"/>
  <c r="T39" i="19" s="1"/>
  <c r="Q9" i="19"/>
  <c r="O15" i="18"/>
  <c r="P14" i="18" s="1"/>
  <c r="B12" i="2" s="1"/>
  <c r="Q13" i="18"/>
  <c r="Q6" i="18" s="1"/>
  <c r="Q5" i="18" s="1"/>
  <c r="S101" i="19" l="1"/>
  <c r="S95" i="19"/>
  <c r="T95" i="19" s="1"/>
  <c r="W45" i="19"/>
  <c r="B50" i="4" s="1"/>
  <c r="I50" i="5" s="1"/>
  <c r="J13" i="2"/>
  <c r="F12" i="2"/>
  <c r="P82" i="19"/>
  <c r="Q81" i="19" s="1"/>
  <c r="S81" i="19" s="1"/>
  <c r="T81" i="19" s="1"/>
  <c r="R7" i="19"/>
  <c r="R6" i="19" s="1"/>
  <c r="R5" i="19" s="1"/>
  <c r="T6" i="21"/>
  <c r="U6" i="21" s="1"/>
  <c r="R5" i="21"/>
  <c r="S64" i="19"/>
  <c r="T64" i="19" s="1"/>
  <c r="P62" i="19"/>
  <c r="Q61" i="19" s="1"/>
  <c r="S61" i="19" s="1"/>
  <c r="T61" i="19" s="1"/>
  <c r="P55" i="19"/>
  <c r="P86" i="19"/>
  <c r="Q85" i="19" s="1"/>
  <c r="S85" i="19" s="1"/>
  <c r="T85" i="19" s="1"/>
  <c r="P47" i="19"/>
  <c r="S9" i="19"/>
  <c r="T9" i="19" s="1"/>
  <c r="P13" i="18"/>
  <c r="P7" i="18" s="1"/>
  <c r="R14" i="18"/>
  <c r="S14" i="18" s="1"/>
  <c r="T5" i="21" l="1"/>
  <c r="U5" i="21" s="1"/>
  <c r="Y5" i="21"/>
  <c r="M50" i="5"/>
  <c r="N50" i="5" s="1"/>
  <c r="Q100" i="19"/>
  <c r="S125" i="19"/>
  <c r="T125" i="19" s="1"/>
  <c r="F50" i="4"/>
  <c r="Q13" i="19"/>
  <c r="Q8" i="19" s="1"/>
  <c r="R13" i="18"/>
  <c r="S13" i="18" s="1"/>
  <c r="Q46" i="19"/>
  <c r="T101" i="19"/>
  <c r="S100" i="19" l="1"/>
  <c r="T100" i="19" s="1"/>
  <c r="G50" i="4"/>
  <c r="Q98" i="19"/>
  <c r="S98" i="19" s="1"/>
  <c r="T98" i="19" s="1"/>
  <c r="B38" i="4"/>
  <c r="Q45" i="19"/>
  <c r="W47" i="19" s="1"/>
  <c r="W44" i="19" s="1"/>
  <c r="B25" i="4" s="1"/>
  <c r="S13" i="19"/>
  <c r="T13" i="19" s="1"/>
  <c r="S46" i="19"/>
  <c r="T46" i="19" s="1"/>
  <c r="R7" i="18"/>
  <c r="S7" i="18" s="1"/>
  <c r="P6" i="18"/>
  <c r="N40" i="4" l="1"/>
  <c r="I38" i="5"/>
  <c r="M40" i="4"/>
  <c r="I25" i="5"/>
  <c r="S8" i="19"/>
  <c r="T8" i="19" s="1"/>
  <c r="B12" i="4"/>
  <c r="Q7" i="19"/>
  <c r="Q6" i="19" s="1"/>
  <c r="S6" i="19" s="1"/>
  <c r="S45" i="19"/>
  <c r="T45" i="19" s="1"/>
  <c r="R6" i="18"/>
  <c r="S6" i="18" s="1"/>
  <c r="P5" i="18"/>
  <c r="P40" i="4" l="1"/>
  <c r="M25" i="5"/>
  <c r="N25" i="5" s="1"/>
  <c r="M12" i="4"/>
  <c r="I12" i="5"/>
  <c r="M38" i="5"/>
  <c r="N38" i="5" s="1"/>
  <c r="S7" i="19"/>
  <c r="T7" i="19" s="1"/>
  <c r="T6" i="19"/>
  <c r="Q5" i="19"/>
  <c r="R5" i="18"/>
  <c r="S5" i="18" s="1"/>
  <c r="AA50" i="19" l="1"/>
  <c r="Z5" i="19"/>
  <c r="M12" i="5"/>
  <c r="N12" i="5" s="1"/>
  <c r="S5" i="19"/>
  <c r="T5" i="19" s="1"/>
  <c r="P269" i="17"/>
  <c r="P268" i="17"/>
  <c r="P267" i="17"/>
  <c r="P264" i="17"/>
  <c r="P263" i="17" s="1"/>
  <c r="P262" i="17"/>
  <c r="P261" i="17"/>
  <c r="P259" i="17"/>
  <c r="P258" i="17"/>
  <c r="P257" i="17"/>
  <c r="P255" i="17"/>
  <c r="P254" i="17" s="1"/>
  <c r="P252" i="17"/>
  <c r="P251" i="17"/>
  <c r="P250" i="17"/>
  <c r="P249" i="17"/>
  <c r="P246" i="17"/>
  <c r="P245" i="17"/>
  <c r="P244" i="17"/>
  <c r="P243" i="17"/>
  <c r="P242" i="17"/>
  <c r="P241" i="17"/>
  <c r="P240" i="17"/>
  <c r="P237" i="17"/>
  <c r="P236" i="17"/>
  <c r="P233" i="17"/>
  <c r="P232" i="17" s="1"/>
  <c r="P231" i="17"/>
  <c r="P230" i="17" s="1"/>
  <c r="Q229" i="17" s="1"/>
  <c r="P220" i="17"/>
  <c r="Q219" i="17" s="1"/>
  <c r="S219" i="17" s="1"/>
  <c r="T219" i="17" s="1"/>
  <c r="S218" i="17"/>
  <c r="T218" i="17" s="1"/>
  <c r="S217" i="17"/>
  <c r="T217" i="17" s="1"/>
  <c r="P216" i="17"/>
  <c r="P215" i="17"/>
  <c r="P212" i="17"/>
  <c r="P211" i="17" s="1"/>
  <c r="Q210" i="17" s="1"/>
  <c r="S210" i="17" s="1"/>
  <c r="T210" i="17" s="1"/>
  <c r="P209" i="17"/>
  <c r="P208" i="17" s="1"/>
  <c r="P207" i="17"/>
  <c r="P206" i="17" s="1"/>
  <c r="P204" i="17"/>
  <c r="P203" i="17" s="1"/>
  <c r="Q202" i="17" s="1"/>
  <c r="S202" i="17" s="1"/>
  <c r="T202" i="17" s="1"/>
  <c r="P201" i="17"/>
  <c r="P200" i="17"/>
  <c r="P197" i="17"/>
  <c r="P196" i="17"/>
  <c r="P193" i="17"/>
  <c r="P192" i="17"/>
  <c r="P191" i="17"/>
  <c r="P190" i="17"/>
  <c r="P189" i="17"/>
  <c r="P188" i="17"/>
  <c r="P185" i="17"/>
  <c r="P183" i="17"/>
  <c r="P182" i="17"/>
  <c r="P181" i="17"/>
  <c r="P176" i="17"/>
  <c r="Q175" i="17" s="1"/>
  <c r="S175" i="17" s="1"/>
  <c r="P172" i="17"/>
  <c r="P171" i="17" s="1"/>
  <c r="P170" i="17"/>
  <c r="P169" i="17" s="1"/>
  <c r="P167" i="17"/>
  <c r="P166" i="17"/>
  <c r="P165" i="17"/>
  <c r="P164" i="17"/>
  <c r="P162" i="17"/>
  <c r="P161" i="17"/>
  <c r="P160" i="17"/>
  <c r="P158" i="17"/>
  <c r="P157" i="17" s="1"/>
  <c r="P156" i="17"/>
  <c r="P155" i="17"/>
  <c r="P154" i="17"/>
  <c r="P151" i="17"/>
  <c r="P150" i="17"/>
  <c r="P149" i="17"/>
  <c r="P147" i="17"/>
  <c r="P146" i="17"/>
  <c r="P145" i="17"/>
  <c r="P143" i="17"/>
  <c r="P142" i="17"/>
  <c r="P141" i="17"/>
  <c r="P140" i="17"/>
  <c r="P138" i="17"/>
  <c r="P137" i="17"/>
  <c r="P135" i="17"/>
  <c r="P131" i="17"/>
  <c r="Q130" i="17" s="1"/>
  <c r="R130" i="17"/>
  <c r="R125" i="17" s="1"/>
  <c r="R124" i="17" s="1"/>
  <c r="P127" i="17"/>
  <c r="Q126" i="17" s="1"/>
  <c r="P123" i="17"/>
  <c r="P122" i="17" s="1"/>
  <c r="Q121" i="17" s="1"/>
  <c r="P120" i="17"/>
  <c r="P119" i="17" s="1"/>
  <c r="Q118" i="17" s="1"/>
  <c r="S118" i="17" s="1"/>
  <c r="T118" i="17" s="1"/>
  <c r="P117" i="17"/>
  <c r="P116" i="17"/>
  <c r="P115" i="17"/>
  <c r="P112" i="17"/>
  <c r="P111" i="17"/>
  <c r="P110" i="17"/>
  <c r="P109" i="17"/>
  <c r="P108" i="17"/>
  <c r="P105" i="17"/>
  <c r="P104" i="17"/>
  <c r="P103" i="17"/>
  <c r="P102" i="17"/>
  <c r="P98" i="17"/>
  <c r="Q97" i="17" s="1"/>
  <c r="S97" i="17" s="1"/>
  <c r="T97" i="17" s="1"/>
  <c r="P96" i="17"/>
  <c r="P95" i="17"/>
  <c r="P94" i="17"/>
  <c r="P92" i="17"/>
  <c r="P91" i="17"/>
  <c r="P90" i="17"/>
  <c r="P89" i="17"/>
  <c r="P88" i="17"/>
  <c r="P87" i="17"/>
  <c r="P84" i="17"/>
  <c r="P82" i="17"/>
  <c r="P81" i="17"/>
  <c r="P78" i="17"/>
  <c r="P77" i="17" s="1"/>
  <c r="Q76" i="17" s="1"/>
  <c r="S76" i="17" s="1"/>
  <c r="T76" i="17" s="1"/>
  <c r="P75" i="17"/>
  <c r="P74" i="17" s="1"/>
  <c r="P73" i="17"/>
  <c r="P72" i="17"/>
  <c r="P71" i="17" s="1"/>
  <c r="P69" i="17"/>
  <c r="P68" i="17"/>
  <c r="P67" i="17"/>
  <c r="P64" i="17"/>
  <c r="P63" i="17"/>
  <c r="P62" i="17"/>
  <c r="P61" i="17"/>
  <c r="P59" i="17"/>
  <c r="P58" i="17" s="1"/>
  <c r="P57" i="17"/>
  <c r="P56" i="17" s="1"/>
  <c r="P54" i="17"/>
  <c r="P53" i="17"/>
  <c r="P51" i="17"/>
  <c r="G52" i="17" s="1"/>
  <c r="P52" i="17" s="1"/>
  <c r="P50" i="17"/>
  <c r="R47" i="17"/>
  <c r="X53" i="17" s="1"/>
  <c r="X50" i="17" s="1"/>
  <c r="D24" i="4" s="1"/>
  <c r="P46" i="17"/>
  <c r="P45" i="17" s="1"/>
  <c r="Q44" i="17" s="1"/>
  <c r="S44" i="17" s="1"/>
  <c r="T44" i="17" s="1"/>
  <c r="P43" i="17"/>
  <c r="P42" i="17" s="1"/>
  <c r="P41" i="17"/>
  <c r="P40" i="17"/>
  <c r="P39" i="17"/>
  <c r="P37" i="17"/>
  <c r="P36" i="17"/>
  <c r="P35" i="17"/>
  <c r="P34" i="17"/>
  <c r="P32" i="17"/>
  <c r="P31" i="17"/>
  <c r="P30" i="17"/>
  <c r="P28" i="17"/>
  <c r="P27" i="17" s="1"/>
  <c r="P26" i="17"/>
  <c r="P25" i="17" s="1"/>
  <c r="P24" i="17"/>
  <c r="P23" i="17" s="1"/>
  <c r="P22" i="17"/>
  <c r="P21" i="17"/>
  <c r="P20" i="17"/>
  <c r="P18" i="17"/>
  <c r="P17" i="17"/>
  <c r="P16" i="17"/>
  <c r="P13" i="17"/>
  <c r="P12" i="17"/>
  <c r="P11" i="17"/>
  <c r="D11" i="4"/>
  <c r="K11" i="5" s="1"/>
  <c r="P96" i="16"/>
  <c r="B69" i="2" s="1"/>
  <c r="Q95" i="16"/>
  <c r="Q94" i="16" s="1"/>
  <c r="Q93" i="16" s="1"/>
  <c r="O92" i="16"/>
  <c r="O91" i="16" s="1"/>
  <c r="P90" i="16" s="1"/>
  <c r="B11" i="2" s="1"/>
  <c r="Q89" i="16"/>
  <c r="O87" i="16"/>
  <c r="Q86" i="16" s="1"/>
  <c r="O83" i="16"/>
  <c r="Q82" i="16" s="1"/>
  <c r="O79" i="16"/>
  <c r="P78" i="16" s="1"/>
  <c r="B29" i="2" s="1"/>
  <c r="Q77" i="16"/>
  <c r="Q72" i="16"/>
  <c r="D62" i="2" s="1"/>
  <c r="D18" i="6" s="1"/>
  <c r="O71" i="16"/>
  <c r="O70" i="16" s="1"/>
  <c r="O69" i="16"/>
  <c r="O68" i="16" s="1"/>
  <c r="P67" i="16" s="1"/>
  <c r="R67" i="16" s="1"/>
  <c r="S67" i="16" s="1"/>
  <c r="O66" i="16"/>
  <c r="Q63" i="16"/>
  <c r="D55" i="2" s="1"/>
  <c r="R57" i="16"/>
  <c r="S57" i="16" s="1"/>
  <c r="O56" i="16"/>
  <c r="O55" i="16"/>
  <c r="O54" i="16"/>
  <c r="O53" i="16"/>
  <c r="O52" i="16"/>
  <c r="O51" i="16"/>
  <c r="O50" i="16"/>
  <c r="O49" i="16"/>
  <c r="O48" i="16"/>
  <c r="O47" i="16"/>
  <c r="O45" i="16"/>
  <c r="O44" i="16"/>
  <c r="O43" i="16"/>
  <c r="O42" i="16"/>
  <c r="O41" i="16"/>
  <c r="O40" i="16"/>
  <c r="O39" i="16"/>
  <c r="O38" i="16"/>
  <c r="O37" i="16"/>
  <c r="O36" i="16"/>
  <c r="O35" i="16"/>
  <c r="O34" i="16"/>
  <c r="O33" i="16"/>
  <c r="O32" i="16"/>
  <c r="O31" i="16"/>
  <c r="O30" i="16"/>
  <c r="O29" i="16"/>
  <c r="O28" i="16"/>
  <c r="O27" i="16"/>
  <c r="O26" i="16"/>
  <c r="O24" i="16"/>
  <c r="O23" i="16"/>
  <c r="O22" i="16"/>
  <c r="O21" i="16"/>
  <c r="O20" i="16"/>
  <c r="O19" i="16"/>
  <c r="O18" i="16"/>
  <c r="O17" i="16"/>
  <c r="O16" i="16"/>
  <c r="O15" i="16"/>
  <c r="O14" i="16"/>
  <c r="O13" i="16"/>
  <c r="O12" i="16"/>
  <c r="O11" i="16"/>
  <c r="Q9" i="16"/>
  <c r="Q8" i="16" s="1"/>
  <c r="P260" i="17" l="1"/>
  <c r="S39" i="4"/>
  <c r="V39" i="4" s="1"/>
  <c r="K24" i="5"/>
  <c r="P86" i="16"/>
  <c r="Q70" i="17"/>
  <c r="P114" i="17"/>
  <c r="Q113" i="17" s="1"/>
  <c r="S113" i="17" s="1"/>
  <c r="T113" i="17" s="1"/>
  <c r="P235" i="17"/>
  <c r="Q234" i="17" s="1"/>
  <c r="S234" i="17" s="1"/>
  <c r="T234" i="17" s="1"/>
  <c r="P239" i="17"/>
  <c r="S121" i="17"/>
  <c r="T121" i="17" s="1"/>
  <c r="W51" i="17"/>
  <c r="B49" i="4" s="1"/>
  <c r="I49" i="5" s="1"/>
  <c r="P60" i="17"/>
  <c r="Q55" i="17" s="1"/>
  <c r="S55" i="17" s="1"/>
  <c r="T55" i="17" s="1"/>
  <c r="P66" i="17"/>
  <c r="P49" i="17"/>
  <c r="F29" i="2"/>
  <c r="G29" i="2" s="1"/>
  <c r="R86" i="16"/>
  <c r="P64" i="16"/>
  <c r="P63" i="16" s="1"/>
  <c r="O65" i="16"/>
  <c r="P82" i="16"/>
  <c r="P81" i="16" s="1"/>
  <c r="Q7" i="16"/>
  <c r="D46" i="2"/>
  <c r="K12" i="2" s="1"/>
  <c r="P15" i="17"/>
  <c r="P195" i="17"/>
  <c r="P214" i="17"/>
  <c r="Q213" i="17" s="1"/>
  <c r="P256" i="17"/>
  <c r="Q253" i="17" s="1"/>
  <c r="S253" i="17" s="1"/>
  <c r="T253" i="17" s="1"/>
  <c r="P38" i="17"/>
  <c r="P136" i="17"/>
  <c r="P10" i="17"/>
  <c r="Q9" i="17" s="1"/>
  <c r="S9" i="17" s="1"/>
  <c r="T9" i="17" s="1"/>
  <c r="P29" i="17"/>
  <c r="Q168" i="17"/>
  <c r="P266" i="17"/>
  <c r="Q265" i="17" s="1"/>
  <c r="S265" i="17" s="1"/>
  <c r="T265" i="17" s="1"/>
  <c r="N11" i="4"/>
  <c r="P33" i="17"/>
  <c r="S130" i="17"/>
  <c r="P139" i="17"/>
  <c r="P144" i="17"/>
  <c r="O46" i="16"/>
  <c r="O25" i="16"/>
  <c r="O10" i="16"/>
  <c r="S126" i="17"/>
  <c r="Q125" i="17"/>
  <c r="P163" i="17"/>
  <c r="P187" i="17"/>
  <c r="Q205" i="17"/>
  <c r="S205" i="17" s="1"/>
  <c r="T205" i="17" s="1"/>
  <c r="S229" i="17"/>
  <c r="T229" i="17" s="1"/>
  <c r="P248" i="17"/>
  <c r="Q247" i="17" s="1"/>
  <c r="S247" i="17" s="1"/>
  <c r="T247" i="17" s="1"/>
  <c r="P153" i="17"/>
  <c r="P159" i="17"/>
  <c r="P199" i="17"/>
  <c r="Q198" i="17" s="1"/>
  <c r="S198" i="17" s="1"/>
  <c r="T198" i="17" s="1"/>
  <c r="S223" i="17"/>
  <c r="T223" i="17" s="1"/>
  <c r="Q238" i="17"/>
  <c r="P19" i="17"/>
  <c r="Q65" i="17"/>
  <c r="S65" i="17" s="1"/>
  <c r="T65" i="17" s="1"/>
  <c r="S70" i="17"/>
  <c r="T70" i="17" s="1"/>
  <c r="P80" i="17"/>
  <c r="Q79" i="17" s="1"/>
  <c r="S79" i="17" s="1"/>
  <c r="T79" i="17" s="1"/>
  <c r="P86" i="17"/>
  <c r="Q85" i="17" s="1"/>
  <c r="S85" i="17" s="1"/>
  <c r="T85" i="17" s="1"/>
  <c r="P101" i="17"/>
  <c r="Q100" i="17" s="1"/>
  <c r="S100" i="17" s="1"/>
  <c r="T100" i="17" s="1"/>
  <c r="P107" i="17"/>
  <c r="Q106" i="17" s="1"/>
  <c r="S106" i="17" s="1"/>
  <c r="T106" i="17" s="1"/>
  <c r="P148" i="17"/>
  <c r="P179" i="17"/>
  <c r="Q178" i="17" s="1"/>
  <c r="S178" i="17" s="1"/>
  <c r="T178" i="17" s="1"/>
  <c r="Q48" i="17"/>
  <c r="R7" i="17"/>
  <c r="R6" i="17" s="1"/>
  <c r="R5" i="17" s="1"/>
  <c r="R73" i="16"/>
  <c r="S73" i="16" s="1"/>
  <c r="P72" i="16"/>
  <c r="R78" i="16"/>
  <c r="S78" i="16" s="1"/>
  <c r="P77" i="16"/>
  <c r="R82" i="16"/>
  <c r="Q81" i="16"/>
  <c r="P89" i="16"/>
  <c r="R89" i="16" s="1"/>
  <c r="S89" i="16" s="1"/>
  <c r="R90" i="16"/>
  <c r="S90" i="16" s="1"/>
  <c r="R96" i="16"/>
  <c r="S96" i="16" s="1"/>
  <c r="P95" i="16"/>
  <c r="S213" i="17" l="1"/>
  <c r="T213" i="17" s="1"/>
  <c r="W178" i="17"/>
  <c r="M49" i="5"/>
  <c r="N49" i="5" s="1"/>
  <c r="P9" i="16"/>
  <c r="R9" i="16" s="1"/>
  <c r="S9" i="16" s="1"/>
  <c r="P76" i="16"/>
  <c r="W242" i="17"/>
  <c r="F49" i="4"/>
  <c r="Q186" i="17"/>
  <c r="R63" i="16"/>
  <c r="S63" i="16" s="1"/>
  <c r="B55" i="2"/>
  <c r="B54" i="2" s="1"/>
  <c r="R64" i="16"/>
  <c r="S64" i="16" s="1"/>
  <c r="R72" i="16"/>
  <c r="S72" i="16" s="1"/>
  <c r="B62" i="2"/>
  <c r="B18" i="6" s="1"/>
  <c r="O15" i="2"/>
  <c r="K23" i="2"/>
  <c r="Q152" i="17"/>
  <c r="S238" i="17"/>
  <c r="T238" i="17" s="1"/>
  <c r="W179" i="17"/>
  <c r="B78" i="4" s="1"/>
  <c r="I78" i="5" s="1"/>
  <c r="B60" i="4"/>
  <c r="I60" i="5" s="1"/>
  <c r="Q134" i="17"/>
  <c r="Q14" i="17"/>
  <c r="S14" i="17" s="1"/>
  <c r="T14" i="17" s="1"/>
  <c r="Q174" i="17"/>
  <c r="Q173" i="17" s="1"/>
  <c r="S48" i="17"/>
  <c r="T48" i="17" s="1"/>
  <c r="Q47" i="17"/>
  <c r="W53" i="17" s="1"/>
  <c r="W50" i="17" s="1"/>
  <c r="B24" i="4" s="1"/>
  <c r="I24" i="5" s="1"/>
  <c r="R77" i="16"/>
  <c r="S77" i="16" s="1"/>
  <c r="R95" i="16"/>
  <c r="S95" i="16" s="1"/>
  <c r="P94" i="16"/>
  <c r="R81" i="16"/>
  <c r="Q76" i="16"/>
  <c r="Q6" i="16" s="1"/>
  <c r="Q5" i="16" s="1"/>
  <c r="B67" i="4" l="1"/>
  <c r="B17" i="6"/>
  <c r="J29" i="2"/>
  <c r="M24" i="5"/>
  <c r="N24" i="5" s="1"/>
  <c r="B66" i="4"/>
  <c r="I17" i="6" s="1"/>
  <c r="I67" i="5"/>
  <c r="M60" i="5"/>
  <c r="N60" i="5" s="1"/>
  <c r="I59" i="5"/>
  <c r="M78" i="5"/>
  <c r="N78" i="5" s="1"/>
  <c r="I77" i="5"/>
  <c r="S186" i="17"/>
  <c r="T186" i="17" s="1"/>
  <c r="G49" i="4"/>
  <c r="Q133" i="17"/>
  <c r="B37" i="4" s="1"/>
  <c r="M39" i="4" s="1"/>
  <c r="S47" i="17"/>
  <c r="T47" i="17" s="1"/>
  <c r="Q8" i="17"/>
  <c r="B11" i="4" s="1"/>
  <c r="I11" i="5" s="1"/>
  <c r="P8" i="16"/>
  <c r="S174" i="17"/>
  <c r="T174" i="17" s="1"/>
  <c r="S173" i="17"/>
  <c r="T173" i="17" s="1"/>
  <c r="Q7" i="17"/>
  <c r="R76" i="16"/>
  <c r="S76" i="16" s="1"/>
  <c r="R94" i="16"/>
  <c r="S94" i="16" s="1"/>
  <c r="P93" i="16"/>
  <c r="R93" i="16" s="1"/>
  <c r="S93" i="16" s="1"/>
  <c r="N39" i="4" l="1"/>
  <c r="P39" i="4" s="1"/>
  <c r="I37" i="5"/>
  <c r="M59" i="5"/>
  <c r="N59" i="5" s="1"/>
  <c r="M11" i="5"/>
  <c r="N11" i="5" s="1"/>
  <c r="M67" i="5"/>
  <c r="N67" i="5" s="1"/>
  <c r="I66" i="5"/>
  <c r="M77" i="5"/>
  <c r="N77" i="5" s="1"/>
  <c r="Q124" i="17"/>
  <c r="Q6" i="17" s="1"/>
  <c r="S133" i="17"/>
  <c r="T133" i="17" s="1"/>
  <c r="M11" i="4"/>
  <c r="S8" i="17"/>
  <c r="T8" i="17" s="1"/>
  <c r="B46" i="2"/>
  <c r="J12" i="2" s="1"/>
  <c r="P7" i="16"/>
  <c r="P6" i="16" s="1"/>
  <c r="P5" i="16" s="1"/>
  <c r="R5" i="16" s="1"/>
  <c r="S5" i="16" s="1"/>
  <c r="R8" i="16"/>
  <c r="S8" i="16" s="1"/>
  <c r="S7" i="17"/>
  <c r="T7" i="17" s="1"/>
  <c r="S124" i="17" l="1"/>
  <c r="T124" i="17" s="1"/>
  <c r="M66" i="5"/>
  <c r="N66" i="5" s="1"/>
  <c r="I58" i="5"/>
  <c r="M37" i="5"/>
  <c r="N37" i="5" s="1"/>
  <c r="B45" i="2"/>
  <c r="R7" i="16"/>
  <c r="S7" i="16" s="1"/>
  <c r="Q5" i="17"/>
  <c r="Y5" i="17" s="1"/>
  <c r="S6" i="17"/>
  <c r="T6" i="17" s="1"/>
  <c r="R6" i="16"/>
  <c r="S6" i="16" s="1"/>
  <c r="B16" i="6" l="1"/>
  <c r="J28" i="2"/>
  <c r="M58" i="5"/>
  <c r="N58" i="5" s="1"/>
  <c r="S5" i="17"/>
  <c r="T5" i="17" s="1"/>
  <c r="P251" i="15"/>
  <c r="P250" i="15" s="1"/>
  <c r="Q249" i="15" s="1"/>
  <c r="R248" i="15"/>
  <c r="R247" i="15" s="1"/>
  <c r="R246" i="15" s="1"/>
  <c r="P235" i="15"/>
  <c r="P231" i="15"/>
  <c r="P230" i="15"/>
  <c r="P225" i="15"/>
  <c r="P223" i="15"/>
  <c r="P222" i="15"/>
  <c r="P221" i="15"/>
  <c r="P220" i="15"/>
  <c r="P218" i="15"/>
  <c r="P217" i="15"/>
  <c r="P216" i="15"/>
  <c r="P214" i="15"/>
  <c r="P212" i="15"/>
  <c r="P211" i="15"/>
  <c r="P210" i="15" s="1"/>
  <c r="P208" i="15"/>
  <c r="P207" i="15"/>
  <c r="P206" i="15"/>
  <c r="P204" i="15"/>
  <c r="P203" i="15"/>
  <c r="P202" i="15"/>
  <c r="P198" i="15"/>
  <c r="P196" i="15"/>
  <c r="P195" i="15"/>
  <c r="P194" i="15"/>
  <c r="P192" i="15"/>
  <c r="R185" i="15"/>
  <c r="R184" i="15" s="1"/>
  <c r="D36" i="4" s="1"/>
  <c r="P182" i="15"/>
  <c r="P181" i="15" s="1"/>
  <c r="Q180" i="15" s="1"/>
  <c r="R179" i="15"/>
  <c r="D54" i="4" s="1"/>
  <c r="K54" i="5" s="1"/>
  <c r="K53" i="5" s="1"/>
  <c r="R57" i="5" s="1"/>
  <c r="P178" i="15"/>
  <c r="P177" i="15" s="1"/>
  <c r="Q176" i="15" s="1"/>
  <c r="R175" i="15"/>
  <c r="D48" i="4" s="1"/>
  <c r="P174" i="15"/>
  <c r="P173" i="15" s="1"/>
  <c r="Q172" i="15" s="1"/>
  <c r="S172" i="15" s="1"/>
  <c r="T172" i="15" s="1"/>
  <c r="P170" i="15"/>
  <c r="P168" i="15"/>
  <c r="P166" i="15"/>
  <c r="P165" i="15"/>
  <c r="P164" i="15" s="1"/>
  <c r="P163" i="15"/>
  <c r="P162" i="15" s="1"/>
  <c r="P160" i="15"/>
  <c r="P159" i="15"/>
  <c r="P157" i="15"/>
  <c r="P156" i="15"/>
  <c r="P153" i="15"/>
  <c r="P152" i="15"/>
  <c r="P149" i="15"/>
  <c r="P148" i="15" s="1"/>
  <c r="P147" i="15"/>
  <c r="P146" i="15" s="1"/>
  <c r="P144" i="15"/>
  <c r="P134" i="15"/>
  <c r="P132" i="15"/>
  <c r="P131" i="15" s="1"/>
  <c r="P130" i="15"/>
  <c r="P128" i="15"/>
  <c r="P126" i="15"/>
  <c r="P124" i="15" s="1"/>
  <c r="P121" i="15"/>
  <c r="P119" i="15"/>
  <c r="P118" i="15"/>
  <c r="P115" i="15"/>
  <c r="P114" i="15" s="1"/>
  <c r="Q113" i="15" s="1"/>
  <c r="S113" i="15" s="1"/>
  <c r="T113" i="15" s="1"/>
  <c r="P112" i="15"/>
  <c r="P110" i="15" s="1"/>
  <c r="Q109" i="15" s="1"/>
  <c r="S109" i="15" s="1"/>
  <c r="T109" i="15" s="1"/>
  <c r="P96" i="15"/>
  <c r="P93" i="15"/>
  <c r="Q92" i="15" s="1"/>
  <c r="S92" i="15" s="1"/>
  <c r="T92" i="15" s="1"/>
  <c r="P90" i="15"/>
  <c r="P88" i="15"/>
  <c r="P86" i="15"/>
  <c r="P80" i="15"/>
  <c r="Q79" i="15" s="1"/>
  <c r="S79" i="15" s="1"/>
  <c r="T79" i="15" s="1"/>
  <c r="P77" i="15"/>
  <c r="P75" i="15"/>
  <c r="P73" i="15"/>
  <c r="P71" i="15"/>
  <c r="P67" i="15"/>
  <c r="Q66" i="15" s="1"/>
  <c r="S66" i="15" s="1"/>
  <c r="T66" i="15" s="1"/>
  <c r="P65" i="15"/>
  <c r="P64" i="15"/>
  <c r="P63" i="15"/>
  <c r="P62" i="15"/>
  <c r="P59" i="15"/>
  <c r="P58" i="15"/>
  <c r="P57" i="15"/>
  <c r="P55" i="15"/>
  <c r="G56" i="15" s="1"/>
  <c r="P56" i="15" s="1"/>
  <c r="P54" i="15"/>
  <c r="R51" i="15"/>
  <c r="D23" i="4" s="1"/>
  <c r="K23" i="5" s="1"/>
  <c r="P50" i="15"/>
  <c r="P49" i="15" s="1"/>
  <c r="Q48" i="15" s="1"/>
  <c r="S48" i="15" s="1"/>
  <c r="T48" i="15" s="1"/>
  <c r="P47" i="15"/>
  <c r="P46" i="15" s="1"/>
  <c r="Q45" i="15" s="1"/>
  <c r="S45" i="15" s="1"/>
  <c r="T45" i="15" s="1"/>
  <c r="P44" i="15"/>
  <c r="P43" i="15" s="1"/>
  <c r="P42" i="15"/>
  <c r="P41" i="15"/>
  <c r="P39" i="15"/>
  <c r="P38" i="15"/>
  <c r="P37" i="15"/>
  <c r="P36" i="15"/>
  <c r="P34" i="15"/>
  <c r="P33" i="15"/>
  <c r="P31" i="15"/>
  <c r="P30" i="15" s="1"/>
  <c r="P29" i="15"/>
  <c r="P28" i="15"/>
  <c r="P26" i="15"/>
  <c r="P25" i="15" s="1"/>
  <c r="P24" i="15"/>
  <c r="P23" i="15"/>
  <c r="P22" i="15"/>
  <c r="P20" i="15"/>
  <c r="P19" i="15"/>
  <c r="P18" i="15"/>
  <c r="P17" i="15"/>
  <c r="P14" i="15"/>
  <c r="P13" i="15"/>
  <c r="P12" i="15"/>
  <c r="P11" i="15"/>
  <c r="R8" i="15"/>
  <c r="D10" i="4" s="1"/>
  <c r="K10" i="5" s="1"/>
  <c r="K9" i="5" s="1"/>
  <c r="R53" i="5" s="1"/>
  <c r="M26" i="14"/>
  <c r="B43" i="2" s="1"/>
  <c r="B42" i="2" s="1"/>
  <c r="L24" i="14"/>
  <c r="L23" i="14" s="1"/>
  <c r="M22" i="14" s="1"/>
  <c r="L17" i="14"/>
  <c r="M16" i="14" s="1"/>
  <c r="B10" i="2" s="1"/>
  <c r="L10" i="14"/>
  <c r="M9" i="14" s="1"/>
  <c r="P32" i="15" l="1"/>
  <c r="P155" i="15"/>
  <c r="B13" i="6"/>
  <c r="J31" i="2"/>
  <c r="D47" i="4"/>
  <c r="K48" i="5"/>
  <c r="K47" i="5" s="1"/>
  <c r="R56" i="5" s="1"/>
  <c r="T38" i="4"/>
  <c r="K36" i="5"/>
  <c r="P16" i="15"/>
  <c r="P40" i="15"/>
  <c r="P205" i="15"/>
  <c r="M8" i="14"/>
  <c r="B28" i="2"/>
  <c r="B27" i="2" s="1"/>
  <c r="P10" i="15"/>
  <c r="Q9" i="15" s="1"/>
  <c r="P21" i="15"/>
  <c r="P27" i="15"/>
  <c r="Q15" i="15" s="1"/>
  <c r="S15" i="15" s="1"/>
  <c r="T15" i="15" s="1"/>
  <c r="P201" i="15"/>
  <c r="P117" i="15"/>
  <c r="Q116" i="15" s="1"/>
  <c r="S116" i="15" s="1"/>
  <c r="T116" i="15" s="1"/>
  <c r="P215" i="15"/>
  <c r="N10" i="4"/>
  <c r="R10" i="4" s="1"/>
  <c r="P35" i="15"/>
  <c r="P127" i="15"/>
  <c r="R7" i="15"/>
  <c r="R6" i="15" s="1"/>
  <c r="R5" i="15" s="1"/>
  <c r="D53" i="4"/>
  <c r="K13" i="6" s="1"/>
  <c r="P229" i="15"/>
  <c r="P219" i="15"/>
  <c r="F10" i="2"/>
  <c r="J11" i="2"/>
  <c r="J23" i="2" s="1"/>
  <c r="Q120" i="15"/>
  <c r="S120" i="15" s="1"/>
  <c r="T120" i="15" s="1"/>
  <c r="P141" i="15"/>
  <c r="Q140" i="15" s="1"/>
  <c r="S140" i="15" s="1"/>
  <c r="T140" i="15" s="1"/>
  <c r="P83" i="15"/>
  <c r="Q82" i="15" s="1"/>
  <c r="S82" i="15" s="1"/>
  <c r="T82" i="15" s="1"/>
  <c r="P61" i="15"/>
  <c r="P98" i="15"/>
  <c r="Q95" i="15" s="1"/>
  <c r="S95" i="15" s="1"/>
  <c r="T95" i="15" s="1"/>
  <c r="P104" i="15"/>
  <c r="Q103" i="15" s="1"/>
  <c r="S103" i="15" s="1"/>
  <c r="T103" i="15" s="1"/>
  <c r="P137" i="15"/>
  <c r="Q133" i="15" s="1"/>
  <c r="S133" i="15" s="1"/>
  <c r="T133" i="15" s="1"/>
  <c r="P151" i="15"/>
  <c r="Q150" i="15" s="1"/>
  <c r="S150" i="15" s="1"/>
  <c r="T150" i="15" s="1"/>
  <c r="P158" i="15"/>
  <c r="Q154" i="15" s="1"/>
  <c r="S154" i="15" s="1"/>
  <c r="T154" i="15" s="1"/>
  <c r="P193" i="15"/>
  <c r="B9" i="2"/>
  <c r="M7" i="14"/>
  <c r="M6" i="14" s="1"/>
  <c r="S176" i="15"/>
  <c r="T176" i="15" s="1"/>
  <c r="Q175" i="15"/>
  <c r="S9" i="15"/>
  <c r="T9" i="15" s="1"/>
  <c r="Q70" i="15"/>
  <c r="S70" i="15" s="1"/>
  <c r="T70" i="15" s="1"/>
  <c r="P53" i="15"/>
  <c r="Q52" i="15" s="1"/>
  <c r="Q145" i="15"/>
  <c r="S145" i="15" s="1"/>
  <c r="T145" i="15" s="1"/>
  <c r="Q185" i="15"/>
  <c r="S186" i="15"/>
  <c r="T186" i="15" s="1"/>
  <c r="Q161" i="15"/>
  <c r="S161" i="15" s="1"/>
  <c r="T161" i="15" s="1"/>
  <c r="S180" i="15"/>
  <c r="T180" i="15" s="1"/>
  <c r="Q179" i="15"/>
  <c r="Q248" i="15"/>
  <c r="S249" i="15"/>
  <c r="T249" i="15" s="1"/>
  <c r="T248" i="15" s="1"/>
  <c r="T247" i="15" s="1"/>
  <c r="T246" i="15" s="1"/>
  <c r="O16" i="14"/>
  <c r="P16" i="14" s="1"/>
  <c r="M15" i="14"/>
  <c r="O15" i="14" s="1"/>
  <c r="P15" i="14" s="1"/>
  <c r="O9" i="14"/>
  <c r="P9" i="14" s="1"/>
  <c r="O13" i="14"/>
  <c r="P13" i="14" s="1"/>
  <c r="O12" i="14"/>
  <c r="P12" i="14" s="1"/>
  <c r="O26" i="14"/>
  <c r="P26" i="14" s="1"/>
  <c r="M25" i="14"/>
  <c r="O25" i="14" s="1"/>
  <c r="P25" i="14" s="1"/>
  <c r="O22" i="14"/>
  <c r="M21" i="14"/>
  <c r="Q189" i="15" l="1"/>
  <c r="S189" i="15" s="1"/>
  <c r="D38" i="49"/>
  <c r="D44" i="49"/>
  <c r="B11" i="6"/>
  <c r="J26" i="2"/>
  <c r="M26" i="2" s="1"/>
  <c r="B9" i="6"/>
  <c r="J25" i="2"/>
  <c r="K35" i="5"/>
  <c r="R55" i="5" s="1"/>
  <c r="K12" i="6"/>
  <c r="N56" i="4"/>
  <c r="S175" i="15"/>
  <c r="T175" i="15" s="1"/>
  <c r="B48" i="4"/>
  <c r="I48" i="5" s="1"/>
  <c r="S179" i="15"/>
  <c r="T179" i="15" s="1"/>
  <c r="B54" i="4"/>
  <c r="I54" i="5" s="1"/>
  <c r="S38" i="4"/>
  <c r="V38" i="4" s="1"/>
  <c r="Q209" i="15"/>
  <c r="S209" i="15" s="1"/>
  <c r="B8" i="2"/>
  <c r="D26" i="49" s="1"/>
  <c r="Q8" i="15"/>
  <c r="B10" i="4" s="1"/>
  <c r="I10" i="5" s="1"/>
  <c r="S52" i="15"/>
  <c r="T52" i="15" s="1"/>
  <c r="Q51" i="15"/>
  <c r="Q247" i="15"/>
  <c r="Q246" i="15" s="1"/>
  <c r="S248" i="15"/>
  <c r="S247" i="15" s="1"/>
  <c r="S246" i="15" s="1"/>
  <c r="S185" i="15"/>
  <c r="T185" i="15" s="1"/>
  <c r="O8" i="14"/>
  <c r="P8" i="14" s="1"/>
  <c r="O21" i="14"/>
  <c r="M20" i="14"/>
  <c r="M10" i="5" l="1"/>
  <c r="N10" i="5" s="1"/>
  <c r="I9" i="5"/>
  <c r="I53" i="5"/>
  <c r="M54" i="5"/>
  <c r="N54" i="5" s="1"/>
  <c r="M48" i="5"/>
  <c r="N48" i="5" s="1"/>
  <c r="I47" i="5"/>
  <c r="B9" i="4"/>
  <c r="I9" i="6" s="1"/>
  <c r="S51" i="15"/>
  <c r="T51" i="15" s="1"/>
  <c r="B23" i="4"/>
  <c r="I23" i="5" s="1"/>
  <c r="B53" i="4"/>
  <c r="F54" i="4"/>
  <c r="G54" i="4" s="1"/>
  <c r="F48" i="4"/>
  <c r="F47" i="4" s="1"/>
  <c r="B47" i="4"/>
  <c r="I12" i="6" s="1"/>
  <c r="D49" i="49" s="1"/>
  <c r="Q188" i="15"/>
  <c r="S188" i="15" s="1"/>
  <c r="T188" i="15" s="1"/>
  <c r="S8" i="15"/>
  <c r="T8" i="15" s="1"/>
  <c r="Q7" i="15"/>
  <c r="O20" i="14"/>
  <c r="P20" i="14" s="1"/>
  <c r="M19" i="14"/>
  <c r="O7" i="14"/>
  <c r="P7" i="14" s="1"/>
  <c r="M23" i="5" l="1"/>
  <c r="N23" i="5" s="1"/>
  <c r="I22" i="5"/>
  <c r="M47" i="5"/>
  <c r="N47" i="5" s="1"/>
  <c r="M53" i="5"/>
  <c r="N53" i="5" s="1"/>
  <c r="M9" i="5"/>
  <c r="N9" i="5" s="1"/>
  <c r="Q184" i="15"/>
  <c r="S184" i="15" s="1"/>
  <c r="T184" i="15" s="1"/>
  <c r="B36" i="4"/>
  <c r="I36" i="5" s="1"/>
  <c r="I13" i="6"/>
  <c r="F53" i="4"/>
  <c r="G53" i="4" s="1"/>
  <c r="G48" i="4"/>
  <c r="G47" i="4"/>
  <c r="O19" i="14"/>
  <c r="P19" i="14" s="1"/>
  <c r="M5" i="14"/>
  <c r="O5" i="14" s="1"/>
  <c r="P5" i="14" s="1"/>
  <c r="S7" i="15"/>
  <c r="T7" i="15" s="1"/>
  <c r="O6" i="14"/>
  <c r="P6" i="14" s="1"/>
  <c r="M38" i="4" l="1"/>
  <c r="Q6" i="15"/>
  <c r="S6" i="15" s="1"/>
  <c r="T6" i="15" s="1"/>
  <c r="I35" i="5"/>
  <c r="M36" i="5"/>
  <c r="N36" i="5" s="1"/>
  <c r="M10" i="4"/>
  <c r="M22" i="4" s="1"/>
  <c r="N38" i="4"/>
  <c r="P38" i="4" l="1"/>
  <c r="Q5" i="15"/>
  <c r="S5" i="15" s="1"/>
  <c r="T5" i="15" s="1"/>
  <c r="M35" i="5"/>
  <c r="N35" i="5" s="1"/>
  <c r="I8" i="5"/>
  <c r="F19" i="6"/>
  <c r="G19" i="6" s="1"/>
  <c r="F18" i="6"/>
  <c r="G18" i="6" s="1"/>
  <c r="M17" i="6"/>
  <c r="N17" i="6" s="1"/>
  <c r="M13" i="6"/>
  <c r="N13" i="6" s="1"/>
  <c r="M12" i="6"/>
  <c r="N12" i="6" s="1"/>
  <c r="F12" i="6"/>
  <c r="G12" i="6" s="1"/>
  <c r="F11" i="6"/>
  <c r="G11" i="6" s="1"/>
  <c r="F10" i="6"/>
  <c r="G10" i="6" s="1"/>
  <c r="B8" i="6"/>
  <c r="H7" i="6"/>
  <c r="K5" i="6"/>
  <c r="H5" i="6"/>
  <c r="H7" i="5"/>
  <c r="K5" i="5"/>
  <c r="H5" i="5"/>
  <c r="F100" i="4"/>
  <c r="G100" i="4" s="1"/>
  <c r="F99" i="4"/>
  <c r="G99" i="4" s="1"/>
  <c r="F98" i="4"/>
  <c r="G98" i="4" s="1"/>
  <c r="F97" i="4"/>
  <c r="G97" i="4" s="1"/>
  <c r="D96" i="4"/>
  <c r="K20" i="6" s="1"/>
  <c r="B96" i="4"/>
  <c r="I20" i="6" s="1"/>
  <c r="F84" i="4"/>
  <c r="D83" i="4"/>
  <c r="K19" i="6" s="1"/>
  <c r="M19" i="6" s="1"/>
  <c r="F82" i="4"/>
  <c r="G82" i="4" s="1"/>
  <c r="F81" i="4"/>
  <c r="G81" i="4" s="1"/>
  <c r="F80" i="4"/>
  <c r="G80" i="4" s="1"/>
  <c r="F78" i="4"/>
  <c r="G78" i="4" s="1"/>
  <c r="D77" i="4"/>
  <c r="K18" i="6" s="1"/>
  <c r="B77" i="4"/>
  <c r="F75" i="4"/>
  <c r="G75" i="4" s="1"/>
  <c r="F74" i="4"/>
  <c r="G74" i="4" s="1"/>
  <c r="F73" i="4"/>
  <c r="G73" i="4" s="1"/>
  <c r="F72" i="4"/>
  <c r="G72" i="4" s="1"/>
  <c r="F70" i="4"/>
  <c r="G70" i="4" s="1"/>
  <c r="F69" i="4"/>
  <c r="G69" i="4" s="1"/>
  <c r="F67" i="4"/>
  <c r="F65" i="4"/>
  <c r="G65" i="4" s="1"/>
  <c r="F64" i="4"/>
  <c r="G64" i="4" s="1"/>
  <c r="F63" i="4"/>
  <c r="G63" i="4" s="1"/>
  <c r="F62" i="4"/>
  <c r="G62" i="4" s="1"/>
  <c r="F60" i="4"/>
  <c r="D59" i="4"/>
  <c r="K16" i="6" s="1"/>
  <c r="B59" i="4"/>
  <c r="I16" i="6" s="1"/>
  <c r="F57" i="4"/>
  <c r="G57" i="4" s="1"/>
  <c r="F56" i="4"/>
  <c r="G56" i="4" s="1"/>
  <c r="D55" i="4"/>
  <c r="K14" i="6" s="1"/>
  <c r="B55" i="4"/>
  <c r="F46" i="4"/>
  <c r="G46" i="4" s="1"/>
  <c r="F45" i="4"/>
  <c r="G45" i="4" s="1"/>
  <c r="F44" i="4"/>
  <c r="G44" i="4" s="1"/>
  <c r="F43" i="4"/>
  <c r="G43" i="4" s="1"/>
  <c r="F41" i="4"/>
  <c r="G41" i="4" s="1"/>
  <c r="F40" i="4"/>
  <c r="G40" i="4" s="1"/>
  <c r="F39" i="4"/>
  <c r="G39" i="4" s="1"/>
  <c r="F38" i="4"/>
  <c r="G38" i="4" s="1"/>
  <c r="F37" i="4"/>
  <c r="G37" i="4" s="1"/>
  <c r="F36" i="4"/>
  <c r="D35" i="4"/>
  <c r="B35" i="4"/>
  <c r="I11" i="6" s="1"/>
  <c r="F33" i="4"/>
  <c r="G33" i="4" s="1"/>
  <c r="F32" i="4"/>
  <c r="G32" i="4" s="1"/>
  <c r="G31" i="4"/>
  <c r="F30" i="4"/>
  <c r="G30" i="4" s="1"/>
  <c r="F28" i="4"/>
  <c r="G28" i="4" s="1"/>
  <c r="F27" i="4"/>
  <c r="G27" i="4" s="1"/>
  <c r="F26" i="4"/>
  <c r="G26" i="4" s="1"/>
  <c r="F25" i="4"/>
  <c r="G25" i="4" s="1"/>
  <c r="F24" i="4"/>
  <c r="G24" i="4" s="1"/>
  <c r="F23" i="4"/>
  <c r="G23" i="4" s="1"/>
  <c r="B22" i="4"/>
  <c r="F21" i="4"/>
  <c r="G21" i="4" s="1"/>
  <c r="F20" i="4"/>
  <c r="G20" i="4" s="1"/>
  <c r="F19" i="4"/>
  <c r="G19" i="4" s="1"/>
  <c r="G18" i="4"/>
  <c r="G17" i="4"/>
  <c r="F15" i="4"/>
  <c r="G15" i="4" s="1"/>
  <c r="F14" i="4"/>
  <c r="G14" i="4" s="1"/>
  <c r="F13" i="4"/>
  <c r="G13" i="4" s="1"/>
  <c r="F12" i="4"/>
  <c r="G12" i="4" s="1"/>
  <c r="F11" i="4"/>
  <c r="G11" i="4" s="1"/>
  <c r="F10" i="4"/>
  <c r="G10" i="4" s="1"/>
  <c r="D9" i="4"/>
  <c r="F76" i="2"/>
  <c r="G76" i="2" s="1"/>
  <c r="D75" i="2"/>
  <c r="B75" i="2"/>
  <c r="F74" i="2"/>
  <c r="F72" i="2"/>
  <c r="G72" i="2" s="1"/>
  <c r="F71" i="2"/>
  <c r="G71" i="2" s="1"/>
  <c r="F70" i="2"/>
  <c r="G70" i="2" s="1"/>
  <c r="F69" i="2"/>
  <c r="F66" i="2"/>
  <c r="G66" i="2" s="1"/>
  <c r="F65" i="2"/>
  <c r="G65" i="2" s="1"/>
  <c r="F64" i="2"/>
  <c r="G64" i="2" s="1"/>
  <c r="F62" i="2"/>
  <c r="F60" i="2"/>
  <c r="G60" i="2" s="1"/>
  <c r="F59" i="2"/>
  <c r="G59" i="2" s="1"/>
  <c r="F57" i="2"/>
  <c r="G57" i="2" s="1"/>
  <c r="F56" i="2"/>
  <c r="G56" i="2" s="1"/>
  <c r="F55" i="2"/>
  <c r="D54" i="2"/>
  <c r="F53" i="2"/>
  <c r="G53" i="2" s="1"/>
  <c r="F52" i="2"/>
  <c r="G52" i="2" s="1"/>
  <c r="F51" i="2"/>
  <c r="G51" i="2" s="1"/>
  <c r="F49" i="2"/>
  <c r="G49" i="2" s="1"/>
  <c r="F48" i="2"/>
  <c r="G48" i="2" s="1"/>
  <c r="F47" i="2"/>
  <c r="G47" i="2" s="1"/>
  <c r="F46" i="2"/>
  <c r="G46" i="2" s="1"/>
  <c r="D45" i="2"/>
  <c r="F43" i="2"/>
  <c r="G43" i="2" s="1"/>
  <c r="D42" i="2"/>
  <c r="F28" i="2"/>
  <c r="F27" i="2" s="1"/>
  <c r="F20" i="2"/>
  <c r="F19" i="2"/>
  <c r="F18" i="2"/>
  <c r="F15" i="2"/>
  <c r="G15" i="2" s="1"/>
  <c r="F14" i="2"/>
  <c r="G14" i="2" s="1"/>
  <c r="F13" i="2"/>
  <c r="G13" i="2" s="1"/>
  <c r="G12" i="2"/>
  <c r="F11" i="2"/>
  <c r="G10" i="2"/>
  <c r="D9" i="2"/>
  <c r="L25" i="2" s="1"/>
  <c r="M25" i="2" s="1"/>
  <c r="E9" i="1"/>
  <c r="C9" i="1"/>
  <c r="Y5" i="15" l="1"/>
  <c r="D13" i="6"/>
  <c r="F13" i="6" s="1"/>
  <c r="G13" i="6" s="1"/>
  <c r="L31" i="2"/>
  <c r="M31" i="2" s="1"/>
  <c r="B20" i="6"/>
  <c r="J32" i="2"/>
  <c r="M32" i="2" s="1"/>
  <c r="D20" i="6"/>
  <c r="F20" i="6" s="1"/>
  <c r="G20" i="6" s="1"/>
  <c r="L32" i="2"/>
  <c r="D16" i="6"/>
  <c r="L28" i="2"/>
  <c r="M28" i="2" s="1"/>
  <c r="G62" i="2"/>
  <c r="F61" i="2"/>
  <c r="D17" i="6"/>
  <c r="F17" i="6" s="1"/>
  <c r="G17" i="6" s="1"/>
  <c r="L29" i="2"/>
  <c r="M29" i="2" s="1"/>
  <c r="F17" i="2"/>
  <c r="K9" i="6"/>
  <c r="M9" i="6" s="1"/>
  <c r="N9" i="6" s="1"/>
  <c r="N53" i="4"/>
  <c r="R23" i="4"/>
  <c r="K11" i="6"/>
  <c r="M11" i="6" s="1"/>
  <c r="N11" i="6" s="1"/>
  <c r="N55" i="4"/>
  <c r="G36" i="4"/>
  <c r="F35" i="4"/>
  <c r="G35" i="4" s="1"/>
  <c r="G60" i="4"/>
  <c r="F59" i="4"/>
  <c r="G59" i="4" s="1"/>
  <c r="F66" i="4"/>
  <c r="G66" i="4" s="1"/>
  <c r="I7" i="5"/>
  <c r="J8" i="5" s="1"/>
  <c r="M20" i="6"/>
  <c r="N20" i="6" s="1"/>
  <c r="I14" i="6"/>
  <c r="M14" i="6" s="1"/>
  <c r="N14" i="6" s="1"/>
  <c r="P28" i="4"/>
  <c r="P34" i="4"/>
  <c r="P25" i="4"/>
  <c r="I18" i="6"/>
  <c r="M18" i="6" s="1"/>
  <c r="N18" i="6" s="1"/>
  <c r="P30" i="4"/>
  <c r="I10" i="6"/>
  <c r="P26" i="4"/>
  <c r="K15" i="6"/>
  <c r="D8" i="2"/>
  <c r="D9" i="6"/>
  <c r="B15" i="6"/>
  <c r="B7" i="6" s="1"/>
  <c r="F16" i="6"/>
  <c r="G16" i="6" s="1"/>
  <c r="B8" i="4"/>
  <c r="B58" i="4"/>
  <c r="F55" i="4"/>
  <c r="G55" i="4" s="1"/>
  <c r="D44" i="2"/>
  <c r="G67" i="4"/>
  <c r="F83" i="4"/>
  <c r="D58" i="4"/>
  <c r="F77" i="4"/>
  <c r="G77" i="4" s="1"/>
  <c r="G18" i="2"/>
  <c r="G11" i="2"/>
  <c r="F9" i="2"/>
  <c r="G28" i="2"/>
  <c r="G27" i="2"/>
  <c r="B44" i="2"/>
  <c r="F42" i="2"/>
  <c r="G42" i="2" s="1"/>
  <c r="F75" i="2"/>
  <c r="G75" i="2" s="1"/>
  <c r="F68" i="2"/>
  <c r="G61" i="2"/>
  <c r="F54" i="2"/>
  <c r="G54" i="2" s="1"/>
  <c r="G55" i="2"/>
  <c r="F45" i="2"/>
  <c r="G69" i="2"/>
  <c r="F9" i="4"/>
  <c r="C7" i="1"/>
  <c r="C8" i="1"/>
  <c r="E7" i="1"/>
  <c r="E8" i="1"/>
  <c r="F96" i="4"/>
  <c r="G96" i="4" s="1"/>
  <c r="D15" i="6" l="1"/>
  <c r="F15" i="6" s="1"/>
  <c r="G15" i="6" s="1"/>
  <c r="J80" i="5"/>
  <c r="J90" i="5"/>
  <c r="J51" i="5"/>
  <c r="J26" i="5"/>
  <c r="J52" i="5"/>
  <c r="J73" i="5"/>
  <c r="J98" i="5"/>
  <c r="J68" i="5"/>
  <c r="J87" i="5"/>
  <c r="J82" i="5"/>
  <c r="J57" i="5"/>
  <c r="J63" i="5"/>
  <c r="J16" i="5"/>
  <c r="J42" i="5"/>
  <c r="J13" i="5"/>
  <c r="J18" i="5"/>
  <c r="J43" i="5"/>
  <c r="J39" i="5"/>
  <c r="J31" i="5"/>
  <c r="J61" i="5"/>
  <c r="J29" i="5"/>
  <c r="J99" i="5"/>
  <c r="J71" i="5"/>
  <c r="J69" i="5"/>
  <c r="J79" i="5"/>
  <c r="J88" i="5"/>
  <c r="J14" i="5"/>
  <c r="J27" i="5"/>
  <c r="J40" i="5"/>
  <c r="J95" i="5"/>
  <c r="J93" i="5"/>
  <c r="J94" i="5"/>
  <c r="J97" i="5"/>
  <c r="J89" i="5"/>
  <c r="J85" i="5"/>
  <c r="J86" i="5"/>
  <c r="J91" i="5"/>
  <c r="J56" i="5"/>
  <c r="J55" i="5"/>
  <c r="J84" i="5"/>
  <c r="J21" i="5"/>
  <c r="J76" i="5"/>
  <c r="J46" i="5"/>
  <c r="J34" i="5"/>
  <c r="J65" i="5"/>
  <c r="J75" i="5"/>
  <c r="J20" i="5"/>
  <c r="J33" i="5"/>
  <c r="J64" i="5"/>
  <c r="J74" i="5"/>
  <c r="J45" i="5"/>
  <c r="J32" i="5"/>
  <c r="J19" i="5"/>
  <c r="J92" i="5"/>
  <c r="J83" i="5"/>
  <c r="J44" i="5"/>
  <c r="J62" i="5"/>
  <c r="J72" i="5"/>
  <c r="J81" i="5"/>
  <c r="J17" i="5"/>
  <c r="J30" i="5"/>
  <c r="J100" i="5"/>
  <c r="J70" i="5"/>
  <c r="J96" i="5"/>
  <c r="J41" i="5"/>
  <c r="J28" i="5"/>
  <c r="J15" i="5"/>
  <c r="J50" i="5"/>
  <c r="J25" i="5"/>
  <c r="J38" i="5"/>
  <c r="J12" i="5"/>
  <c r="J49" i="5"/>
  <c r="J24" i="5"/>
  <c r="J78" i="5"/>
  <c r="J60" i="5"/>
  <c r="J67" i="5"/>
  <c r="J59" i="5"/>
  <c r="J11" i="5"/>
  <c r="J77" i="5"/>
  <c r="J37" i="5"/>
  <c r="J66" i="5"/>
  <c r="J58" i="5"/>
  <c r="J7" i="5" s="1"/>
  <c r="J48" i="5"/>
  <c r="J54" i="5"/>
  <c r="J10" i="5"/>
  <c r="J47" i="5"/>
  <c r="J9" i="5"/>
  <c r="J23" i="5"/>
  <c r="J53" i="5"/>
  <c r="J22" i="5"/>
  <c r="J36" i="5"/>
  <c r="J35" i="5"/>
  <c r="F58" i="4"/>
  <c r="G58" i="4" s="1"/>
  <c r="D30" i="49"/>
  <c r="D25" i="49"/>
  <c r="D24" i="49" s="1"/>
  <c r="F44" i="2"/>
  <c r="G44" i="2" s="1"/>
  <c r="M16" i="6"/>
  <c r="N16" i="6" s="1"/>
  <c r="D77" i="49"/>
  <c r="D54" i="49"/>
  <c r="D47" i="49" s="1"/>
  <c r="D34" i="49"/>
  <c r="C13" i="6"/>
  <c r="C9" i="6"/>
  <c r="I8" i="6"/>
  <c r="I15" i="6"/>
  <c r="P31" i="4"/>
  <c r="D7" i="2"/>
  <c r="D8" i="6"/>
  <c r="F9" i="6"/>
  <c r="G9" i="6" s="1"/>
  <c r="C15" i="6"/>
  <c r="C18" i="6"/>
  <c r="C8" i="6"/>
  <c r="C12" i="6"/>
  <c r="C19" i="6"/>
  <c r="C11" i="6"/>
  <c r="C16" i="6"/>
  <c r="C20" i="6"/>
  <c r="C10" i="6"/>
  <c r="C17" i="6"/>
  <c r="B7" i="4"/>
  <c r="C22" i="4" s="1"/>
  <c r="G9" i="4"/>
  <c r="F8" i="2"/>
  <c r="G9" i="2"/>
  <c r="G45" i="2"/>
  <c r="B7" i="2"/>
  <c r="C6" i="1"/>
  <c r="G68" i="2"/>
  <c r="E6" i="1"/>
  <c r="G17" i="2"/>
  <c r="D29" i="49" l="1"/>
  <c r="E33" i="2"/>
  <c r="E37" i="2"/>
  <c r="E18" i="2"/>
  <c r="E30" i="2"/>
  <c r="E34" i="2"/>
  <c r="E38" i="2"/>
  <c r="E26" i="2"/>
  <c r="E35" i="2"/>
  <c r="E32" i="2"/>
  <c r="E36" i="2"/>
  <c r="E29" i="2"/>
  <c r="E31" i="2"/>
  <c r="E39" i="2"/>
  <c r="C90" i="4"/>
  <c r="C59" i="4"/>
  <c r="C10" i="4"/>
  <c r="C23" i="4"/>
  <c r="P32" i="4"/>
  <c r="I7" i="6"/>
  <c r="J20" i="6" s="1"/>
  <c r="M15" i="6"/>
  <c r="N15" i="6" s="1"/>
  <c r="F8" i="6"/>
  <c r="G8" i="6" s="1"/>
  <c r="D7" i="6"/>
  <c r="C7" i="6"/>
  <c r="C10" i="2"/>
  <c r="C49" i="4"/>
  <c r="C51" i="4"/>
  <c r="C52" i="4"/>
  <c r="C50" i="4"/>
  <c r="C76" i="4"/>
  <c r="C20" i="4"/>
  <c r="C53" i="4"/>
  <c r="C54" i="4"/>
  <c r="C47" i="4"/>
  <c r="C48" i="4"/>
  <c r="F7" i="2"/>
  <c r="G7" i="2" s="1"/>
  <c r="C16" i="2"/>
  <c r="C42" i="4"/>
  <c r="C85" i="4"/>
  <c r="C89" i="4"/>
  <c r="C93" i="4"/>
  <c r="C30" i="4"/>
  <c r="C61" i="4"/>
  <c r="C92" i="4"/>
  <c r="C16" i="4"/>
  <c r="C71" i="4"/>
  <c r="C11" i="4"/>
  <c r="C86" i="4"/>
  <c r="C94" i="4"/>
  <c r="C79" i="4"/>
  <c r="C88" i="4"/>
  <c r="C17" i="4"/>
  <c r="C29" i="4"/>
  <c r="C87" i="4"/>
  <c r="C91" i="4"/>
  <c r="C95" i="4"/>
  <c r="C83" i="4"/>
  <c r="C9" i="4"/>
  <c r="C66" i="4"/>
  <c r="C8" i="4"/>
  <c r="C19" i="4"/>
  <c r="C26" i="4"/>
  <c r="C33" i="4"/>
  <c r="C39" i="4"/>
  <c r="C84" i="4"/>
  <c r="C56" i="4"/>
  <c r="C41" i="4"/>
  <c r="C14" i="4"/>
  <c r="C78" i="4"/>
  <c r="C35" i="4"/>
  <c r="C13" i="4"/>
  <c r="C46" i="4"/>
  <c r="C38" i="4"/>
  <c r="C34" i="4"/>
  <c r="C55" i="4"/>
  <c r="C12" i="4"/>
  <c r="C27" i="4"/>
  <c r="C44" i="4"/>
  <c r="C57" i="4"/>
  <c r="C72" i="4"/>
  <c r="C43" i="4"/>
  <c r="C36" i="4"/>
  <c r="C75" i="4"/>
  <c r="C28" i="4"/>
  <c r="C74" i="4"/>
  <c r="C62" i="4"/>
  <c r="C97" i="4"/>
  <c r="C68" i="4"/>
  <c r="C37" i="4"/>
  <c r="C15" i="4"/>
  <c r="C45" i="4"/>
  <c r="C77" i="4"/>
  <c r="C24" i="4"/>
  <c r="C31" i="4"/>
  <c r="C63" i="4"/>
  <c r="C98" i="4"/>
  <c r="C96" i="4"/>
  <c r="C64" i="4"/>
  <c r="C81" i="4"/>
  <c r="C99" i="4"/>
  <c r="C58" i="4"/>
  <c r="C80" i="4"/>
  <c r="C18" i="4"/>
  <c r="C67" i="4"/>
  <c r="C21" i="4"/>
  <c r="C32" i="4"/>
  <c r="C40" i="4"/>
  <c r="C70" i="4"/>
  <c r="C73" i="4"/>
  <c r="C25" i="4"/>
  <c r="C69" i="4"/>
  <c r="C60" i="4"/>
  <c r="C65" i="4"/>
  <c r="C82" i="4"/>
  <c r="C100" i="4"/>
  <c r="G8" i="2"/>
  <c r="E10" i="2"/>
  <c r="E67" i="2"/>
  <c r="E41" i="2"/>
  <c r="C41" i="2"/>
  <c r="C40" i="2"/>
  <c r="K27" i="2" s="1"/>
  <c r="C67" i="2"/>
  <c r="E73" i="2"/>
  <c r="E22" i="2"/>
  <c r="E23" i="2"/>
  <c r="E24" i="2"/>
  <c r="E25" i="2"/>
  <c r="E40" i="2"/>
  <c r="C25" i="2"/>
  <c r="C23" i="2"/>
  <c r="C22" i="2"/>
  <c r="C26" i="2"/>
  <c r="C24" i="2"/>
  <c r="C17" i="2"/>
  <c r="E63" i="2"/>
  <c r="C73" i="2"/>
  <c r="C63" i="2"/>
  <c r="E8" i="2"/>
  <c r="E16" i="2"/>
  <c r="E50" i="2"/>
  <c r="E59" i="2"/>
  <c r="E58" i="2"/>
  <c r="C58" i="2"/>
  <c r="C50" i="2"/>
  <c r="C59" i="2"/>
  <c r="C34" i="2"/>
  <c r="C68" i="2"/>
  <c r="C44" i="2"/>
  <c r="C32" i="2"/>
  <c r="C37" i="2"/>
  <c r="C33" i="2"/>
  <c r="C38" i="2"/>
  <c r="C29" i="2"/>
  <c r="C30" i="2"/>
  <c r="C35" i="2"/>
  <c r="C39" i="2"/>
  <c r="C31" i="2"/>
  <c r="C36" i="2"/>
  <c r="E44" i="2"/>
  <c r="C53" i="2"/>
  <c r="C52" i="2"/>
  <c r="C51" i="2"/>
  <c r="C49" i="2"/>
  <c r="C48" i="2"/>
  <c r="C47" i="2"/>
  <c r="C46" i="2"/>
  <c r="C27" i="2"/>
  <c r="K26" i="2" s="1"/>
  <c r="C18" i="2"/>
  <c r="C74" i="2"/>
  <c r="C72" i="2"/>
  <c r="C71" i="2"/>
  <c r="C70" i="2"/>
  <c r="C69" i="2"/>
  <c r="C66" i="2"/>
  <c r="C65" i="2"/>
  <c r="C64" i="2"/>
  <c r="C62" i="2"/>
  <c r="C45" i="2"/>
  <c r="K28" i="2" s="1"/>
  <c r="C21" i="2"/>
  <c r="C20" i="2"/>
  <c r="C19" i="2"/>
  <c r="C76" i="2"/>
  <c r="C60" i="2"/>
  <c r="C54" i="2"/>
  <c r="K29" i="2" s="1"/>
  <c r="C28" i="2"/>
  <c r="C9" i="2"/>
  <c r="K25" i="2" s="1"/>
  <c r="C57" i="2"/>
  <c r="C56" i="2"/>
  <c r="C55" i="2"/>
  <c r="C43" i="2"/>
  <c r="C15" i="2"/>
  <c r="C14" i="2"/>
  <c r="C13" i="2"/>
  <c r="C12" i="2"/>
  <c r="C11" i="2"/>
  <c r="C42" i="2"/>
  <c r="C75" i="2"/>
  <c r="K32" i="2" s="1"/>
  <c r="C61" i="2"/>
  <c r="K30" i="2" s="1"/>
  <c r="C8" i="2"/>
  <c r="E74" i="2"/>
  <c r="E72" i="2"/>
  <c r="E71" i="2"/>
  <c r="E70" i="2"/>
  <c r="E69" i="2"/>
  <c r="E66" i="2"/>
  <c r="E65" i="2"/>
  <c r="E64" i="2"/>
  <c r="E62" i="2"/>
  <c r="E21" i="2"/>
  <c r="E20" i="2"/>
  <c r="E19" i="2"/>
  <c r="E53" i="2"/>
  <c r="E48" i="2"/>
  <c r="E45" i="2"/>
  <c r="E57" i="2"/>
  <c r="E56" i="2"/>
  <c r="E55" i="2"/>
  <c r="E43" i="2"/>
  <c r="E15" i="2"/>
  <c r="E14" i="2"/>
  <c r="E13" i="2"/>
  <c r="E12" i="2"/>
  <c r="E11" i="2"/>
  <c r="E51" i="2"/>
  <c r="E47" i="2"/>
  <c r="E17" i="2"/>
  <c r="E76" i="2"/>
  <c r="E60" i="2"/>
  <c r="E28" i="2"/>
  <c r="E52" i="2"/>
  <c r="E49" i="2"/>
  <c r="E46" i="2"/>
  <c r="E61" i="2"/>
  <c r="E42" i="2"/>
  <c r="E75" i="2"/>
  <c r="E68" i="2"/>
  <c r="E54" i="2"/>
  <c r="E27" i="2"/>
  <c r="E9" i="2"/>
  <c r="K31" i="2" l="1"/>
  <c r="J18" i="6"/>
  <c r="C7" i="4"/>
  <c r="J12" i="6"/>
  <c r="J10" i="6"/>
  <c r="J8" i="6"/>
  <c r="J19" i="6"/>
  <c r="J13" i="6"/>
  <c r="J16" i="6"/>
  <c r="J11" i="6"/>
  <c r="J14" i="6"/>
  <c r="J15" i="6"/>
  <c r="J9" i="6"/>
  <c r="J17" i="6"/>
  <c r="E13" i="6"/>
  <c r="E12" i="6"/>
  <c r="E20" i="6"/>
  <c r="E16" i="6"/>
  <c r="F7" i="6"/>
  <c r="G7" i="6" s="1"/>
  <c r="E10" i="6"/>
  <c r="E19" i="6"/>
  <c r="E17" i="6"/>
  <c r="E8" i="6"/>
  <c r="E9" i="6"/>
  <c r="E11" i="6"/>
  <c r="E15" i="6"/>
  <c r="E18" i="6"/>
  <c r="E7" i="2"/>
  <c r="C7" i="2"/>
  <c r="S49" i="37"/>
  <c r="R14" i="37"/>
  <c r="K34" i="5" l="1"/>
  <c r="S49" i="4"/>
  <c r="V49" i="4" s="1"/>
  <c r="N21" i="4"/>
  <c r="J7" i="6"/>
  <c r="X28" i="4"/>
  <c r="S14" i="37"/>
  <c r="T14" i="37" s="1"/>
  <c r="E7" i="6"/>
  <c r="R7" i="37"/>
  <c r="M34" i="5" l="1"/>
  <c r="N34" i="5" s="1"/>
  <c r="K22" i="5"/>
  <c r="R54" i="5" s="1"/>
  <c r="R60" i="5" s="1"/>
  <c r="N22" i="4"/>
  <c r="D22" i="4"/>
  <c r="F34" i="4"/>
  <c r="R6" i="37"/>
  <c r="R5" i="37" s="1"/>
  <c r="S7" i="37"/>
  <c r="T7" i="37" s="1"/>
  <c r="K10" i="6" l="1"/>
  <c r="M10" i="6" s="1"/>
  <c r="N10" i="6" s="1"/>
  <c r="N54" i="4"/>
  <c r="M22" i="5"/>
  <c r="N22" i="5" s="1"/>
  <c r="K8" i="5"/>
  <c r="G34" i="4"/>
  <c r="F22" i="4"/>
  <c r="D8" i="4"/>
  <c r="S6" i="37"/>
  <c r="T6" i="37" s="1"/>
  <c r="S5" i="37"/>
  <c r="T5" i="37" s="1"/>
  <c r="K8" i="6" l="1"/>
  <c r="M8" i="6" s="1"/>
  <c r="N8" i="6" s="1"/>
  <c r="K7" i="5"/>
  <c r="L8" i="5" s="1"/>
  <c r="M8" i="5"/>
  <c r="N8" i="5" s="1"/>
  <c r="D7" i="4"/>
  <c r="E10" i="4" s="1"/>
  <c r="G22" i="4"/>
  <c r="F8" i="4"/>
  <c r="K7" i="6" l="1"/>
  <c r="L8" i="6" s="1"/>
  <c r="L97" i="5"/>
  <c r="L99" i="5"/>
  <c r="L100" i="5"/>
  <c r="L98" i="5"/>
  <c r="L95" i="5"/>
  <c r="L89" i="5"/>
  <c r="L90" i="5"/>
  <c r="L78" i="5"/>
  <c r="L72" i="5"/>
  <c r="L73" i="5"/>
  <c r="L75" i="5"/>
  <c r="L62" i="5"/>
  <c r="L64" i="5"/>
  <c r="L57" i="5"/>
  <c r="L50" i="5"/>
  <c r="L39" i="5"/>
  <c r="L38" i="5"/>
  <c r="L37" i="5"/>
  <c r="L77" i="5"/>
  <c r="L26" i="5"/>
  <c r="L31" i="5"/>
  <c r="L23" i="5"/>
  <c r="L9" i="5"/>
  <c r="L19" i="5"/>
  <c r="L12" i="5"/>
  <c r="L21" i="5"/>
  <c r="L66" i="5"/>
  <c r="L88" i="5"/>
  <c r="L93" i="5"/>
  <c r="L94" i="5"/>
  <c r="L82" i="5"/>
  <c r="L76" i="5"/>
  <c r="L68" i="5"/>
  <c r="L61" i="5"/>
  <c r="L56" i="5"/>
  <c r="L48" i="5"/>
  <c r="L58" i="5"/>
  <c r="L7" i="5" s="1"/>
  <c r="L40" i="5"/>
  <c r="L42" i="5"/>
  <c r="L25" i="5"/>
  <c r="L30" i="5"/>
  <c r="L24" i="5"/>
  <c r="L59" i="5"/>
  <c r="L10" i="5"/>
  <c r="L16" i="5"/>
  <c r="L14" i="5"/>
  <c r="L83" i="5"/>
  <c r="L87" i="5"/>
  <c r="L92" i="5"/>
  <c r="L84" i="5"/>
  <c r="L79" i="5"/>
  <c r="L81" i="5"/>
  <c r="L70" i="5"/>
  <c r="L74" i="5"/>
  <c r="L63" i="5"/>
  <c r="L51" i="5"/>
  <c r="L41" i="5"/>
  <c r="L44" i="5"/>
  <c r="L46" i="5"/>
  <c r="L29" i="5"/>
  <c r="L28" i="5"/>
  <c r="L96" i="5"/>
  <c r="L17" i="5"/>
  <c r="L20" i="5"/>
  <c r="L11" i="5"/>
  <c r="L53" i="5"/>
  <c r="L55" i="5"/>
  <c r="L91" i="5"/>
  <c r="L85" i="5"/>
  <c r="L86" i="5"/>
  <c r="L80" i="5"/>
  <c r="L71" i="5"/>
  <c r="L69" i="5"/>
  <c r="L67" i="5"/>
  <c r="L65" i="5"/>
  <c r="L60" i="5"/>
  <c r="L54" i="5"/>
  <c r="L49" i="5"/>
  <c r="L52" i="5"/>
  <c r="L45" i="5"/>
  <c r="L36" i="5"/>
  <c r="L43" i="5"/>
  <c r="L33" i="5"/>
  <c r="L27" i="5"/>
  <c r="L32" i="5"/>
  <c r="L47" i="5"/>
  <c r="L15" i="5"/>
  <c r="L18" i="5"/>
  <c r="L13" i="5"/>
  <c r="L35" i="5"/>
  <c r="M7" i="5"/>
  <c r="N7" i="5" s="1"/>
  <c r="L34" i="5"/>
  <c r="L22" i="5"/>
  <c r="E8" i="4"/>
  <c r="E52" i="4"/>
  <c r="E51" i="4"/>
  <c r="E50" i="4"/>
  <c r="E49" i="4"/>
  <c r="F7" i="4"/>
  <c r="G7" i="4" s="1"/>
  <c r="G8" i="4"/>
  <c r="E76" i="4"/>
  <c r="E48" i="4"/>
  <c r="E29" i="4"/>
  <c r="E79" i="4"/>
  <c r="E71" i="4"/>
  <c r="E92" i="4"/>
  <c r="E98" i="4"/>
  <c r="E80" i="4"/>
  <c r="E63" i="4"/>
  <c r="E56" i="4"/>
  <c r="E45" i="4"/>
  <c r="E33" i="4"/>
  <c r="E39" i="4"/>
  <c r="E9" i="4"/>
  <c r="E41" i="4"/>
  <c r="E74" i="4"/>
  <c r="E23" i="4"/>
  <c r="E68" i="4"/>
  <c r="E19" i="4"/>
  <c r="E26" i="4"/>
  <c r="E58" i="4"/>
  <c r="E77" i="4"/>
  <c r="E54" i="4"/>
  <c r="E16" i="4"/>
  <c r="E42" i="4"/>
  <c r="E89" i="4"/>
  <c r="E86" i="4"/>
  <c r="E87" i="4"/>
  <c r="E97" i="4"/>
  <c r="E78" i="4"/>
  <c r="E62" i="4"/>
  <c r="E95" i="4"/>
  <c r="E40" i="4"/>
  <c r="E32" i="4"/>
  <c r="E31" i="4"/>
  <c r="E72" i="4"/>
  <c r="E37" i="4"/>
  <c r="E69" i="4"/>
  <c r="E12" i="4"/>
  <c r="E38" i="4"/>
  <c r="E15" i="4"/>
  <c r="E24" i="4"/>
  <c r="E66" i="4"/>
  <c r="E53" i="4"/>
  <c r="E61" i="4"/>
  <c r="E30" i="4"/>
  <c r="E93" i="4"/>
  <c r="E90" i="4"/>
  <c r="E91" i="4"/>
  <c r="E100" i="4"/>
  <c r="E82" i="4"/>
  <c r="E65" i="4"/>
  <c r="E60" i="4"/>
  <c r="E75" i="4"/>
  <c r="E36" i="4"/>
  <c r="E11" i="4"/>
  <c r="E28" i="4"/>
  <c r="E67" i="4"/>
  <c r="E18" i="4"/>
  <c r="E35" i="4"/>
  <c r="E84" i="4"/>
  <c r="E21" i="4"/>
  <c r="E14" i="4"/>
  <c r="E83" i="4"/>
  <c r="E96" i="4"/>
  <c r="E47" i="4"/>
  <c r="E43" i="4"/>
  <c r="E88" i="4"/>
  <c r="E94" i="4"/>
  <c r="E85" i="4"/>
  <c r="E99" i="4"/>
  <c r="E81" i="4"/>
  <c r="E64" i="4"/>
  <c r="E57" i="4"/>
  <c r="E70" i="4"/>
  <c r="E44" i="4"/>
  <c r="E25" i="4"/>
  <c r="E46" i="4"/>
  <c r="E17" i="4"/>
  <c r="E27" i="4"/>
  <c r="E73" i="4"/>
  <c r="E20" i="4"/>
  <c r="E13" i="4"/>
  <c r="E55" i="4"/>
  <c r="E59" i="4"/>
  <c r="E34" i="4"/>
  <c r="E22" i="4"/>
  <c r="L12" i="6" l="1"/>
  <c r="L15" i="6"/>
  <c r="L7" i="6" s="1"/>
  <c r="L9" i="6"/>
  <c r="L17" i="6"/>
  <c r="L20" i="6"/>
  <c r="L18" i="6"/>
  <c r="L10" i="6"/>
  <c r="L11" i="6"/>
  <c r="L13" i="6"/>
  <c r="L19" i="6"/>
  <c r="M7" i="6"/>
  <c r="N7" i="6" s="1"/>
  <c r="L16" i="6"/>
  <c r="L14" i="6"/>
  <c r="E7" i="4"/>
  <c r="B8" i="5"/>
  <c r="F8" i="5" l="1"/>
  <c r="G8" i="5" s="1"/>
  <c r="B7" i="5"/>
  <c r="C90" i="5" s="1"/>
  <c r="C85" i="5" l="1"/>
  <c r="C88" i="5"/>
  <c r="C84" i="5"/>
  <c r="C87" i="5"/>
  <c r="C83" i="5"/>
  <c r="C86" i="5"/>
  <c r="C79" i="5"/>
  <c r="C76" i="5"/>
  <c r="C77" i="5"/>
  <c r="C80" i="5"/>
  <c r="C78" i="5"/>
  <c r="C81" i="5"/>
  <c r="C74" i="5"/>
  <c r="C71" i="5"/>
  <c r="C70" i="5"/>
  <c r="C72" i="5"/>
  <c r="C69" i="5"/>
  <c r="C73" i="5"/>
  <c r="C65" i="5"/>
  <c r="C60" i="5"/>
  <c r="C62" i="5"/>
  <c r="C66" i="5"/>
  <c r="C63" i="5"/>
  <c r="C67" i="5"/>
  <c r="C64" i="5"/>
  <c r="C61" i="5"/>
  <c r="C41" i="5"/>
  <c r="C43" i="5"/>
  <c r="C33" i="5"/>
  <c r="C37" i="5"/>
  <c r="C28" i="5"/>
  <c r="C36" i="5"/>
  <c r="C30" i="5"/>
  <c r="C34" i="5"/>
  <c r="C38" i="5"/>
  <c r="C32" i="5"/>
  <c r="C29" i="5"/>
  <c r="C31" i="5"/>
  <c r="C35" i="5"/>
  <c r="C39" i="5"/>
  <c r="C21" i="5"/>
  <c r="C25" i="5"/>
  <c r="C22" i="5"/>
  <c r="C26" i="5"/>
  <c r="C23" i="5"/>
  <c r="C19" i="5"/>
  <c r="C20" i="5"/>
  <c r="C24" i="5"/>
  <c r="C18" i="5"/>
  <c r="C15" i="5"/>
  <c r="C11" i="5"/>
  <c r="C12" i="5"/>
  <c r="C16" i="5"/>
  <c r="C13" i="5"/>
  <c r="C14" i="5"/>
  <c r="C10" i="5"/>
  <c r="C82" i="5"/>
  <c r="C89" i="5"/>
  <c r="C68" i="5"/>
  <c r="C75" i="5"/>
  <c r="C58" i="5"/>
  <c r="C59" i="5"/>
  <c r="C42" i="5"/>
  <c r="C40" i="5"/>
  <c r="C8" i="5"/>
  <c r="C7" i="5" s="1"/>
  <c r="C27" i="5"/>
  <c r="C17" i="5"/>
  <c r="F7" i="5"/>
  <c r="G7" i="5" s="1"/>
  <c r="C9" i="5"/>
</calcChain>
</file>

<file path=xl/comments1.xml><?xml version="1.0" encoding="utf-8"?>
<comments xmlns="http://schemas.openxmlformats.org/spreadsheetml/2006/main">
  <authors>
    <author>user</author>
  </authors>
  <commentList>
    <comment ref="G5" authorId="0" shapeId="0">
      <text>
        <r>
          <rPr>
            <b/>
            <sz val="9"/>
            <color rgb="FF000000"/>
            <rFont val="돋움"/>
            <family val="3"/>
            <charset val="129"/>
          </rPr>
          <t>금액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I5" authorId="0" shapeId="0">
      <text>
        <r>
          <rPr>
            <sz val="9"/>
            <color rgb="FF000000"/>
            <rFont val="돋움"/>
            <family val="3"/>
            <charset val="129"/>
          </rPr>
          <t>인원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  <author>청소년재단</author>
  </authors>
  <commentList>
    <comment ref="G5" authorId="0" shapeId="0">
      <text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>
      <text>
        <r>
          <rPr>
            <sz val="9"/>
            <color indexed="81"/>
            <rFont val="돋움"/>
            <family val="3"/>
            <charset val="129"/>
          </rPr>
          <t>인원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>
      <text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3" authorId="1" shapeId="0">
      <text>
        <r>
          <rPr>
            <b/>
            <sz val="9"/>
            <color indexed="81"/>
            <rFont val="돋움"/>
            <family val="3"/>
            <charset val="129"/>
          </rPr>
          <t>2018 확정 사업이 아니므로 빼는 게 맞습니다.</t>
        </r>
      </text>
    </comment>
    <comment ref="F87" authorId="1" shapeId="0">
      <text>
        <r>
          <rPr>
            <b/>
            <sz val="9"/>
            <color indexed="81"/>
            <rFont val="돋움"/>
            <family val="3"/>
            <charset val="129"/>
          </rPr>
          <t>2018 확정 사업이 아니므로 빼는 게 맞습니다.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G5" authorId="0" shapeId="0">
      <text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>
      <text>
        <r>
          <rPr>
            <sz val="9"/>
            <color indexed="81"/>
            <rFont val="돋움"/>
            <family val="3"/>
            <charset val="129"/>
          </rPr>
          <t>인원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>
      <text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G5" authorId="0" shapeId="0">
      <text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>
      <text>
        <r>
          <rPr>
            <sz val="9"/>
            <color indexed="81"/>
            <rFont val="돋움"/>
            <family val="3"/>
            <charset val="129"/>
          </rPr>
          <t>인원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>
      <text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G5" authorId="0" shapeId="0">
      <text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>
      <text>
        <r>
          <rPr>
            <sz val="9"/>
            <color indexed="81"/>
            <rFont val="돋움"/>
            <family val="3"/>
            <charset val="129"/>
          </rPr>
          <t>인원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>
      <text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user</author>
  </authors>
  <commentList>
    <comment ref="G5" authorId="0" shapeId="0">
      <text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>
      <text>
        <r>
          <rPr>
            <sz val="9"/>
            <color indexed="81"/>
            <rFont val="돋움"/>
            <family val="3"/>
            <charset val="129"/>
          </rPr>
          <t>인원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>
      <text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G5" authorId="0" shapeId="0">
      <text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>
      <text>
        <r>
          <rPr>
            <sz val="9"/>
            <color indexed="81"/>
            <rFont val="돋움"/>
            <family val="3"/>
            <charset val="129"/>
          </rPr>
          <t>인원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>
      <text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user</author>
  </authors>
  <commentList>
    <comment ref="G5" authorId="0" shapeId="0">
      <text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>
      <text>
        <r>
          <rPr>
            <sz val="9"/>
            <color indexed="81"/>
            <rFont val="돋움"/>
            <family val="3"/>
            <charset val="129"/>
          </rPr>
          <t>인원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>
      <text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user</author>
  </authors>
  <commentList>
    <comment ref="G5" authorId="0" shapeId="0">
      <text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>
      <text>
        <r>
          <rPr>
            <sz val="9"/>
            <color indexed="81"/>
            <rFont val="돋움"/>
            <family val="3"/>
            <charset val="129"/>
          </rPr>
          <t>인원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>
      <text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user</author>
  </authors>
  <commentList>
    <comment ref="G5" authorId="0" shapeId="0">
      <text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>
      <text>
        <r>
          <rPr>
            <sz val="9"/>
            <color indexed="81"/>
            <rFont val="돋움"/>
            <family val="3"/>
            <charset val="129"/>
          </rPr>
          <t>인원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>
      <text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user</author>
  </authors>
  <commentList>
    <comment ref="G5" authorId="0" shapeId="0">
      <text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>
      <text>
        <r>
          <rPr>
            <sz val="9"/>
            <color indexed="81"/>
            <rFont val="돋움"/>
            <family val="3"/>
            <charset val="129"/>
          </rPr>
          <t>인원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>
      <text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user</author>
  </authors>
  <commentList>
    <comment ref="G5" authorId="0" shapeId="0">
      <text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>
      <text>
        <r>
          <rPr>
            <sz val="9"/>
            <color indexed="81"/>
            <rFont val="돋움"/>
            <family val="3"/>
            <charset val="129"/>
          </rPr>
          <t>인원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>
      <text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user</author>
  </authors>
  <commentList>
    <comment ref="G5" authorId="0" shapeId="0">
      <text>
        <r>
          <rPr>
            <b/>
            <sz val="9"/>
            <color rgb="FF000000"/>
            <rFont val="돋움"/>
            <family val="3"/>
            <charset val="129"/>
          </rPr>
          <t>금액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I5" authorId="0" shapeId="0">
      <text>
        <r>
          <rPr>
            <sz val="9"/>
            <color rgb="FF000000"/>
            <rFont val="돋움"/>
            <family val="3"/>
            <charset val="129"/>
          </rPr>
          <t>인원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K5" authorId="0" shapeId="0">
      <text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청소년재단</author>
  </authors>
  <commentList>
    <comment ref="G5" authorId="0" shapeId="0">
      <text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>
      <text>
        <r>
          <rPr>
            <sz val="9"/>
            <color indexed="81"/>
            <rFont val="돋움"/>
            <family val="3"/>
            <charset val="129"/>
          </rPr>
          <t>인원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>
      <text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7" authorId="1" shapeId="0">
      <text>
        <r>
          <rPr>
            <b/>
            <sz val="9"/>
            <color indexed="81"/>
            <rFont val="돋움"/>
            <family val="3"/>
            <charset val="129"/>
          </rPr>
          <t>2018 확정 사업이 아니므로 빼는 게 맞습니다.</t>
        </r>
      </text>
    </comment>
    <comment ref="F131" authorId="1" shapeId="0">
      <text>
        <r>
          <rPr>
            <b/>
            <sz val="9"/>
            <color indexed="81"/>
            <rFont val="Tahoma"/>
            <family val="2"/>
          </rPr>
          <t xml:space="preserve">2018 </t>
        </r>
        <r>
          <rPr>
            <b/>
            <sz val="9"/>
            <color indexed="81"/>
            <rFont val="돋움"/>
            <family val="3"/>
            <charset val="129"/>
          </rPr>
          <t>확정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아니므로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빼는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맞습니다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청소년재단</author>
  </authors>
  <commentList>
    <comment ref="G5" authorId="0" shapeId="0">
      <text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>
      <text>
        <r>
          <rPr>
            <sz val="9"/>
            <color indexed="81"/>
            <rFont val="돋움"/>
            <family val="3"/>
            <charset val="129"/>
          </rPr>
          <t>인원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>
      <text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7" authorId="1" shapeId="0">
      <text>
        <r>
          <rPr>
            <b/>
            <sz val="9"/>
            <color indexed="81"/>
            <rFont val="Tahoma"/>
            <family val="2"/>
          </rPr>
          <t>40,000-&gt;400,000</t>
        </r>
        <r>
          <rPr>
            <b/>
            <sz val="9"/>
            <color indexed="81"/>
            <rFont val="돋움"/>
            <family val="3"/>
            <charset val="129"/>
          </rPr>
          <t>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조정
</t>
        </r>
      </text>
    </comment>
    <comment ref="P63" authorId="1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단가조정: 100,000-&gt;60,000원 조정
</t>
        </r>
      </text>
    </comment>
    <comment ref="G66" authorId="1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단가조정:50,000-&gt;4,0000원 조정
</t>
        </r>
      </text>
    </comment>
    <comment ref="G94" authorId="1" shapeId="0">
      <text>
        <r>
          <rPr>
            <b/>
            <sz val="9"/>
            <color indexed="81"/>
            <rFont val="돋움"/>
            <family val="3"/>
            <charset val="129"/>
          </rPr>
          <t>단가조정: 1,000,000-&gt;880,000원</t>
        </r>
      </text>
    </comment>
    <comment ref="G97" authorId="1" shapeId="0">
      <text>
        <r>
          <rPr>
            <b/>
            <sz val="9"/>
            <color indexed="81"/>
            <rFont val="돋움"/>
            <family val="3"/>
            <charset val="129"/>
          </rPr>
          <t>고양시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예산편성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세부지침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중요물품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단가기준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danawacomputer</author>
  </authors>
  <commentList>
    <comment ref="G5" authorId="0" shapeId="0">
      <text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>
      <text>
        <r>
          <rPr>
            <sz val="9"/>
            <color indexed="81"/>
            <rFont val="돋움"/>
            <family val="3"/>
            <charset val="129"/>
          </rPr>
          <t>인원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>
      <text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87" authorId="1" shapeId="0">
      <text>
        <r>
          <rPr>
            <b/>
            <sz val="9"/>
            <color indexed="81"/>
            <rFont val="돋움"/>
            <family val="3"/>
            <charset val="129"/>
          </rPr>
          <t>기관별로 건강검진 예산항목을 편성할 경우 인사이동 시 건강검진에서 제외 되거나 중복혜택의 우려가 있음. 청소년재단 전체적 관리가 필요함.</t>
        </r>
      </text>
    </comment>
  </commentList>
</comments>
</file>

<file path=xl/comments17.xml><?xml version="1.0" encoding="utf-8"?>
<comments xmlns="http://schemas.openxmlformats.org/spreadsheetml/2006/main">
  <authors>
    <author>user</author>
  </authors>
  <commentList>
    <comment ref="G5" authorId="0" shapeId="0">
      <text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>
      <text>
        <r>
          <rPr>
            <sz val="9"/>
            <color indexed="81"/>
            <rFont val="돋움"/>
            <family val="3"/>
            <charset val="129"/>
          </rPr>
          <t>인원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>
      <text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8.xml><?xml version="1.0" encoding="utf-8"?>
<comments xmlns="http://schemas.openxmlformats.org/spreadsheetml/2006/main">
  <authors>
    <author>user</author>
  </authors>
  <commentList>
    <comment ref="G5" authorId="0" shapeId="0">
      <text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>
      <text>
        <r>
          <rPr>
            <sz val="9"/>
            <color indexed="81"/>
            <rFont val="돋움"/>
            <family val="3"/>
            <charset val="129"/>
          </rPr>
          <t>인원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>
      <text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9.xml><?xml version="1.0" encoding="utf-8"?>
<comments xmlns="http://schemas.openxmlformats.org/spreadsheetml/2006/main">
  <authors>
    <author>user</author>
  </authors>
  <commentList>
    <comment ref="G5" authorId="0" shapeId="0">
      <text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>
      <text>
        <r>
          <rPr>
            <sz val="9"/>
            <color indexed="81"/>
            <rFont val="돋움"/>
            <family val="3"/>
            <charset val="129"/>
          </rPr>
          <t>인원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>
      <text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0.xml><?xml version="1.0" encoding="utf-8"?>
<comments xmlns="http://schemas.openxmlformats.org/spreadsheetml/2006/main">
  <authors>
    <author>user</author>
  </authors>
  <commentList>
    <comment ref="G5" authorId="0" shapeId="0">
      <text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>
      <text>
        <r>
          <rPr>
            <sz val="9"/>
            <color indexed="81"/>
            <rFont val="돋움"/>
            <family val="3"/>
            <charset val="129"/>
          </rPr>
          <t>인원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>
      <text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1.xml><?xml version="1.0" encoding="utf-8"?>
<comments xmlns="http://schemas.openxmlformats.org/spreadsheetml/2006/main">
  <authors>
    <author>user</author>
  </authors>
  <commentList>
    <comment ref="G5" authorId="0" shapeId="0">
      <text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>
      <text>
        <r>
          <rPr>
            <sz val="9"/>
            <color indexed="81"/>
            <rFont val="돋움"/>
            <family val="3"/>
            <charset val="129"/>
          </rPr>
          <t>인원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>
      <text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2.xml><?xml version="1.0" encoding="utf-8"?>
<comments xmlns="http://schemas.openxmlformats.org/spreadsheetml/2006/main">
  <authors>
    <author>user</author>
  </authors>
  <commentList>
    <comment ref="I5" authorId="0" shapeId="0">
      <text>
        <r>
          <rPr>
            <sz val="9"/>
            <color indexed="81"/>
            <rFont val="돋움"/>
            <family val="3"/>
            <charset val="129"/>
          </rPr>
          <t>인원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3.xml><?xml version="1.0" encoding="utf-8"?>
<comments xmlns="http://schemas.openxmlformats.org/spreadsheetml/2006/main">
  <authors>
    <author>user</author>
  </authors>
  <commentList>
    <comment ref="G5" authorId="0" shapeId="0">
      <text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>
      <text>
        <r>
          <rPr>
            <sz val="9"/>
            <color indexed="81"/>
            <rFont val="돋움"/>
            <family val="3"/>
            <charset val="129"/>
          </rPr>
          <t>인원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>
      <text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4.xml><?xml version="1.0" encoding="utf-8"?>
<comments xmlns="http://schemas.openxmlformats.org/spreadsheetml/2006/main">
  <authors>
    <author>user</author>
  </authors>
  <commentList>
    <comment ref="G5" authorId="0" shapeId="0">
      <text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>
      <text>
        <r>
          <rPr>
            <sz val="9"/>
            <color indexed="81"/>
            <rFont val="돋움"/>
            <family val="3"/>
            <charset val="129"/>
          </rPr>
          <t>인원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>
      <text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<sst xmlns="http://schemas.openxmlformats.org/spreadsheetml/2006/main" count="7988" uniqueCount="2857">
  <si>
    <t>[단위:천원]</t>
    <phoneticPr fontId="2" type="noConversion"/>
  </si>
  <si>
    <t>구     분</t>
    <phoneticPr fontId="2" type="noConversion"/>
  </si>
  <si>
    <t>증감(A-B)</t>
    <phoneticPr fontId="2" type="noConversion"/>
  </si>
  <si>
    <t>금액</t>
    <phoneticPr fontId="2" type="noConversion"/>
  </si>
  <si>
    <t>구성비</t>
    <phoneticPr fontId="2" type="noConversion"/>
  </si>
  <si>
    <t>증감률</t>
    <phoneticPr fontId="2" type="noConversion"/>
  </si>
  <si>
    <t>총계</t>
    <phoneticPr fontId="2" type="noConversion"/>
  </si>
  <si>
    <t>출연금</t>
    <phoneticPr fontId="2" type="noConversion"/>
  </si>
  <si>
    <t>사업수익금</t>
    <phoneticPr fontId="2" type="noConversion"/>
  </si>
  <si>
    <t>이월금</t>
    <phoneticPr fontId="2" type="noConversion"/>
  </si>
  <si>
    <t>[단위:천원]</t>
    <phoneticPr fontId="7" type="noConversion"/>
  </si>
  <si>
    <t>세                         입</t>
    <phoneticPr fontId="7" type="noConversion"/>
  </si>
  <si>
    <t>예산과목</t>
    <phoneticPr fontId="7" type="noConversion"/>
  </si>
  <si>
    <t xml:space="preserve"> 증 감(A-B)</t>
    <phoneticPr fontId="7" type="noConversion"/>
  </si>
  <si>
    <t>금액</t>
    <phoneticPr fontId="7" type="noConversion"/>
  </si>
  <si>
    <t>구성비</t>
    <phoneticPr fontId="7" type="noConversion"/>
  </si>
  <si>
    <t>금액</t>
    <phoneticPr fontId="7" type="noConversion"/>
  </si>
  <si>
    <t>구성비</t>
    <phoneticPr fontId="7" type="noConversion"/>
  </si>
  <si>
    <t>금  액</t>
    <phoneticPr fontId="7" type="noConversion"/>
  </si>
  <si>
    <t>증감률</t>
    <phoneticPr fontId="7" type="noConversion"/>
  </si>
  <si>
    <t>625-2 지자체출자출연금</t>
  </si>
  <si>
    <t>사무국</t>
    <phoneticPr fontId="2" type="noConversion"/>
  </si>
  <si>
    <t>마두청소년수련관</t>
    <phoneticPr fontId="2" type="noConversion"/>
  </si>
  <si>
    <t>고양시청소년진로센터</t>
    <phoneticPr fontId="2" type="noConversion"/>
  </si>
  <si>
    <t>성사청소년문화의집</t>
    <phoneticPr fontId="2" type="noConversion"/>
  </si>
  <si>
    <t>탄현청소년문화의집</t>
    <phoneticPr fontId="2" type="noConversion"/>
  </si>
  <si>
    <t>토당청소년수련관</t>
    <phoneticPr fontId="2" type="noConversion"/>
  </si>
  <si>
    <t>고양시청소년상담복지센터</t>
    <phoneticPr fontId="2" type="noConversion"/>
  </si>
  <si>
    <t>화정청소년카페</t>
    <phoneticPr fontId="2" type="noConversion"/>
  </si>
  <si>
    <t>623 시비보조금</t>
    <phoneticPr fontId="2" type="noConversion"/>
  </si>
  <si>
    <t>마두청소년수련관</t>
  </si>
  <si>
    <t>621 이자수익</t>
    <phoneticPr fontId="2" type="noConversion"/>
  </si>
  <si>
    <t>172 이월금 및 출자출연금</t>
    <phoneticPr fontId="2" type="noConversion"/>
  </si>
  <si>
    <t>사무국(이월금)</t>
    <phoneticPr fontId="2" type="noConversion"/>
  </si>
  <si>
    <t>610 영업수익</t>
  </si>
  <si>
    <t>625-2 자체사업수익</t>
    <phoneticPr fontId="2" type="noConversion"/>
  </si>
  <si>
    <t>화정청소년카페</t>
    <phoneticPr fontId="2" type="noConversion"/>
  </si>
  <si>
    <t>617 기타영업수익</t>
    <phoneticPr fontId="2" type="noConversion"/>
  </si>
  <si>
    <t>618 판매수익</t>
    <phoneticPr fontId="2" type="noConversion"/>
  </si>
  <si>
    <t>[단위:천원]</t>
    <phoneticPr fontId="7" type="noConversion"/>
  </si>
  <si>
    <t>세                         출</t>
    <phoneticPr fontId="7" type="noConversion"/>
  </si>
  <si>
    <t>구     분</t>
    <phoneticPr fontId="7" type="noConversion"/>
  </si>
  <si>
    <t>증 감(A-B)</t>
    <phoneticPr fontId="7" type="noConversion"/>
  </si>
  <si>
    <t>금액</t>
    <phoneticPr fontId="7" type="noConversion"/>
  </si>
  <si>
    <t>구성비</t>
    <phoneticPr fontId="7" type="noConversion"/>
  </si>
  <si>
    <t>구성비</t>
    <phoneticPr fontId="7" type="noConversion"/>
  </si>
  <si>
    <t>금  액</t>
    <phoneticPr fontId="7" type="noConversion"/>
  </si>
  <si>
    <t>증감률</t>
    <phoneticPr fontId="7" type="noConversion"/>
  </si>
  <si>
    <t>총     계</t>
    <phoneticPr fontId="7" type="noConversion"/>
  </si>
  <si>
    <t>[단위:천원]</t>
    <phoneticPr fontId="7" type="noConversion"/>
  </si>
  <si>
    <t>세                         출</t>
    <phoneticPr fontId="7" type="noConversion"/>
  </si>
  <si>
    <t>예산과목</t>
    <phoneticPr fontId="7" type="noConversion"/>
  </si>
  <si>
    <t>증 감(A-B)</t>
    <phoneticPr fontId="7" type="noConversion"/>
  </si>
  <si>
    <t>금액</t>
    <phoneticPr fontId="7" type="noConversion"/>
  </si>
  <si>
    <t>구성비</t>
    <phoneticPr fontId="7" type="noConversion"/>
  </si>
  <si>
    <t>금  액</t>
    <phoneticPr fontId="7" type="noConversion"/>
  </si>
  <si>
    <t>증감률</t>
    <phoneticPr fontId="7" type="noConversion"/>
  </si>
  <si>
    <t>총      계</t>
    <phoneticPr fontId="7" type="noConversion"/>
  </si>
  <si>
    <t>100 인건비</t>
    <phoneticPr fontId="2" type="noConversion"/>
  </si>
  <si>
    <t>200 경비</t>
    <phoneticPr fontId="2" type="noConversion"/>
  </si>
  <si>
    <t>720 목적사업비</t>
    <phoneticPr fontId="2" type="noConversion"/>
  </si>
  <si>
    <t>405-1 자산취득비</t>
    <phoneticPr fontId="2" type="noConversion"/>
  </si>
  <si>
    <t>801-1 예비비(차기년도이월금)</t>
    <phoneticPr fontId="2" type="noConversion"/>
  </si>
  <si>
    <t>고양시청소년진로센터</t>
    <phoneticPr fontId="2" type="noConversion"/>
  </si>
  <si>
    <t>700 사업비용</t>
  </si>
  <si>
    <t>100 인건비</t>
    <phoneticPr fontId="2" type="noConversion"/>
  </si>
  <si>
    <t>마두청소년수련관</t>
    <phoneticPr fontId="2" type="noConversion"/>
  </si>
  <si>
    <t>토당청소년수련관</t>
    <phoneticPr fontId="2" type="noConversion"/>
  </si>
  <si>
    <t>고양시청소년상담복지센터</t>
    <phoneticPr fontId="2" type="noConversion"/>
  </si>
  <si>
    <t>화정청소년카페</t>
    <phoneticPr fontId="2" type="noConversion"/>
  </si>
  <si>
    <t>200 경비</t>
    <phoneticPr fontId="2" type="noConversion"/>
  </si>
  <si>
    <t>성사청소년문화의집</t>
    <phoneticPr fontId="2" type="noConversion"/>
  </si>
  <si>
    <t>고양시청소년상담복지센터</t>
    <phoneticPr fontId="2" type="noConversion"/>
  </si>
  <si>
    <t>731-1 사업비</t>
    <phoneticPr fontId="2" type="noConversion"/>
  </si>
  <si>
    <t>탄현청소년문화의집</t>
    <phoneticPr fontId="2" type="noConversion"/>
  </si>
  <si>
    <t>고양시청소년상담복지센터</t>
    <phoneticPr fontId="2" type="noConversion"/>
  </si>
  <si>
    <t>405-1 자산취득비</t>
    <phoneticPr fontId="2" type="noConversion"/>
  </si>
  <si>
    <t>마두청소년수련관</t>
    <phoneticPr fontId="2" type="noConversion"/>
  </si>
  <si>
    <t>[단위:천원]</t>
    <phoneticPr fontId="7" type="noConversion"/>
  </si>
  <si>
    <t>세                         입</t>
    <phoneticPr fontId="7" type="noConversion"/>
  </si>
  <si>
    <t>토당청소년수련관</t>
    <phoneticPr fontId="2" type="noConversion"/>
  </si>
  <si>
    <t>사무국</t>
    <phoneticPr fontId="2" type="noConversion"/>
  </si>
  <si>
    <t>100 인건비</t>
    <phoneticPr fontId="2" type="noConversion"/>
  </si>
  <si>
    <t>고양시청소년진로센터</t>
    <phoneticPr fontId="2" type="noConversion"/>
  </si>
  <si>
    <t>625-3  기타출자출연금</t>
    <phoneticPr fontId="2" type="noConversion"/>
  </si>
  <si>
    <t>총      계</t>
    <phoneticPr fontId="7" type="noConversion"/>
  </si>
  <si>
    <t>610 영업수익(수익)</t>
    <phoneticPr fontId="2" type="noConversion"/>
  </si>
  <si>
    <t>700 사업비용(수익)</t>
    <phoneticPr fontId="2" type="noConversion"/>
  </si>
  <si>
    <t>2018년 세입예산서(안)</t>
    <phoneticPr fontId="2" type="noConversion"/>
  </si>
  <si>
    <t>[일반회계]</t>
  </si>
  <si>
    <t>(단위:천원)</t>
  </si>
  <si>
    <t>예산과목</t>
  </si>
  <si>
    <t>산출내역</t>
  </si>
  <si>
    <t>예산액</t>
  </si>
  <si>
    <t>전년도
예산액</t>
  </si>
  <si>
    <t>증감</t>
  </si>
  <si>
    <t>증감률</t>
  </si>
  <si>
    <t>장</t>
  </si>
  <si>
    <t>관</t>
  </si>
  <si>
    <t>항</t>
  </si>
  <si>
    <t>목</t>
  </si>
  <si>
    <t>세목</t>
  </si>
  <si>
    <t>세세목</t>
  </si>
  <si>
    <t>600 사업수익</t>
  </si>
  <si>
    <t>620 영업외수익</t>
  </si>
  <si>
    <t>621 이자수익</t>
  </si>
  <si>
    <t>621-1 예금이자수익</t>
  </si>
  <si>
    <t>ㅇ예금이자수익</t>
  </si>
  <si>
    <t>­ 예금이자</t>
  </si>
  <si>
    <t xml:space="preserve">× </t>
  </si>
  <si>
    <t>=</t>
  </si>
  <si>
    <t>623 보조금수익</t>
  </si>
  <si>
    <t>623-1 국도시비보조금</t>
  </si>
  <si>
    <t>625 출자출연금수익</t>
  </si>
  <si>
    <t>ㅇ고양시지원금</t>
  </si>
  <si>
    <t>100 자본적수입</t>
  </si>
  <si>
    <t>170 자본잉여금수입</t>
  </si>
  <si>
    <t>172 이월금</t>
  </si>
  <si>
    <t>ㅇ전년도이월금</t>
  </si>
  <si>
    <t>­  2017년사업비이월금</t>
    <phoneticPr fontId="2" type="noConversion"/>
  </si>
  <si>
    <t>­  2017년사업비이월금</t>
    <phoneticPr fontId="7" type="noConversion"/>
  </si>
  <si>
    <t>청소녀</t>
  </si>
  <si>
    <t>2018년 세출예산서(안)</t>
  </si>
  <si>
    <t>710 영업비용</t>
  </si>
  <si>
    <t>100 인건비</t>
  </si>
  <si>
    <t>101 급여</t>
  </si>
  <si>
    <t>ㅇ기본급</t>
  </si>
  <si>
    <t>- 대표이사</t>
  </si>
  <si>
    <t>- 사무국장</t>
  </si>
  <si>
    <t>- 부장 5급(7급상당)</t>
  </si>
  <si>
    <t>- 사원 7급(9급상당)</t>
  </si>
  <si>
    <t>ㅇ가족수당</t>
  </si>
  <si>
    <t>ㅇ급량비</t>
  </si>
  <si>
    <t>- 정액급식비</t>
  </si>
  <si>
    <t>ㅇ자격수당</t>
  </si>
  <si>
    <t>- 청소년지도사</t>
  </si>
  <si>
    <t>ㅇ시간외/당직근무수당</t>
  </si>
  <si>
    <t xml:space="preserve"> - 시간외및당직근무수당</t>
  </si>
  <si>
    <t>ㅇ정근수당</t>
  </si>
  <si>
    <t>- 5년 이상</t>
    <phoneticPr fontId="2" type="noConversion"/>
  </si>
  <si>
    <t>ㅇ명절휴가비</t>
  </si>
  <si>
    <t>- 부장 5급</t>
  </si>
  <si>
    <t>- 사원 7급</t>
  </si>
  <si>
    <t>ㅇ연가보상비</t>
  </si>
  <si>
    <t>- 연가보상비</t>
  </si>
  <si>
    <t>ㅇ대체인력인건비</t>
  </si>
  <si>
    <t>- 기본급 및 수당포함</t>
  </si>
  <si>
    <t>ㅇ퇴직급여충당금</t>
  </si>
  <si>
    <t>­ 퇴직급여충당금</t>
  </si>
  <si>
    <t>200 경비</t>
  </si>
  <si>
    <t>ㅇ사회4대보험</t>
  </si>
  <si>
    <t>­ 국민연금부담금</t>
  </si>
  <si>
    <t>­ 국민건강보험부담금</t>
  </si>
  <si>
    <t>­ 장기요양보험부담금</t>
  </si>
  <si>
    <t>­ 고용보험부담금</t>
  </si>
  <si>
    <t>­ 산재보험부담금</t>
  </si>
  <si>
    <t>­ 특근매식비</t>
    <phoneticPr fontId="7" type="noConversion"/>
  </si>
  <si>
    <t>ㅇ직원복지제도</t>
  </si>
  <si>
    <t>­ 상해보장보험</t>
  </si>
  <si>
    <t>­ 종합건강검진</t>
  </si>
  <si>
    <t>­ 선택적복지제도</t>
  </si>
  <si>
    <t>­ 동호회 활동지원</t>
    <phoneticPr fontId="7" type="noConversion"/>
  </si>
  <si>
    <t>ㅇ여비</t>
  </si>
  <si>
    <t>­ 국내여비</t>
  </si>
  <si>
    <t>­ 국외여비</t>
  </si>
  <si>
    <t>ㅇ발송비</t>
  </si>
  <si>
    <t>­ 우편물,택배 발송비</t>
  </si>
  <si>
    <t>ㅇ통신비</t>
  </si>
  <si>
    <t>­ 전화 인터넷 사용료</t>
  </si>
  <si>
    <t>ㅇ협회비</t>
  </si>
  <si>
    <t>­ 경기도청소년재단협회비</t>
  </si>
  <si>
    <t>ㅇ기타공공요금</t>
  </si>
  <si>
    <t>­ 법인세 등 제세</t>
  </si>
  <si>
    <t>ㅇ수도광열비</t>
  </si>
  <si>
    <t>­  수도, 전기 등 공과금</t>
  </si>
  <si>
    <t>ㅇ사무용품비</t>
  </si>
  <si>
    <t>­ 사무용품</t>
  </si>
  <si>
    <t>­ 복사용지</t>
  </si>
  <si>
    <t>ㅇ전산소모품비</t>
  </si>
  <si>
    <t>­ 사무용 소프트웨어, 백신 등</t>
    <phoneticPr fontId="7" type="noConversion"/>
  </si>
  <si>
    <t>ㅇ청소용품비</t>
  </si>
  <si>
    <t>­청소용소모품비</t>
  </si>
  <si>
    <t>ㅇ소모성비품구입</t>
  </si>
  <si>
    <t>­냉온수기용 물</t>
  </si>
  <si>
    <t>ㅇ피복비</t>
  </si>
  <si>
    <t>­ 직원피복비</t>
  </si>
  <si>
    <t>208 도서인쇄비</t>
  </si>
  <si>
    <t>ㅇ구독료</t>
  </si>
  <si>
    <t>­ 신문구독</t>
  </si>
  <si>
    <t>ㅇ도서인쇄비</t>
  </si>
  <si>
    <t>­ 예결산서</t>
  </si>
  <si>
    <t>­ 규정집</t>
  </si>
  <si>
    <t>­ 업무수첩</t>
  </si>
  <si>
    <t>­ 사원증 및 명함</t>
  </si>
  <si>
    <t>209 지급임차료</t>
  </si>
  <si>
    <t>ㅇ지급임차료</t>
  </si>
  <si>
    <t>­ 인사회계 프로그램 유지보수</t>
  </si>
  <si>
    <t>­  그룹웨어 유지보수</t>
  </si>
  <si>
    <t>­  관용차 임차료</t>
  </si>
  <si>
    <t>­  복합기/프린트 임차료</t>
  </si>
  <si>
    <t>210 수선유지비</t>
  </si>
  <si>
    <t>ㅇ수선유지비</t>
  </si>
  <si>
    <t>­ 홈페이지유지보수</t>
    <phoneticPr fontId="7" type="noConversion"/>
  </si>
  <si>
    <t>211 차량유지비</t>
  </si>
  <si>
    <t>ㅇ차량유지비</t>
  </si>
  <si>
    <t>­ 주유비 및 수리</t>
  </si>
  <si>
    <t>212 보험료</t>
  </si>
  <si>
    <t>ㅇ보험료</t>
  </si>
  <si>
    <t>­ 회계보증보험</t>
  </si>
  <si>
    <t>­ 시설보험료</t>
  </si>
  <si>
    <t>213 지급수수료</t>
  </si>
  <si>
    <t>ㅇ자문료</t>
  </si>
  <si>
    <t>­ 회계감사 및 세무자문료</t>
    <phoneticPr fontId="7" type="noConversion"/>
  </si>
  <si>
    <t>­ 법무, 노무 자문료</t>
    <phoneticPr fontId="7" type="noConversion"/>
  </si>
  <si>
    <t>ㅇ수수료 등</t>
  </si>
  <si>
    <t>­ 무인경비용역수수료</t>
  </si>
  <si>
    <t>­ 퇴직연금운영수수료</t>
  </si>
  <si>
    <t>ㅇ제증명발급 등 수수료</t>
    <phoneticPr fontId="7" type="noConversion"/>
  </si>
  <si>
    <t>­ 증명서 발급수수료</t>
    <phoneticPr fontId="7" type="noConversion"/>
  </si>
  <si>
    <t>­ 나라장터</t>
  </si>
  <si>
    <t>­ 공인인증서 발급수수료</t>
    <phoneticPr fontId="7" type="noConversion"/>
  </si>
  <si>
    <t>ㅇ직원채용시험</t>
    <phoneticPr fontId="7" type="noConversion"/>
  </si>
  <si>
    <t>­ 직원채용시험운영비</t>
    <phoneticPr fontId="7" type="noConversion"/>
  </si>
  <si>
    <t>214 업무추진비</t>
  </si>
  <si>
    <t>ㅇ 기관운영업무추진비</t>
  </si>
  <si>
    <t>­ 대표이사</t>
  </si>
  <si>
    <t>­ 사무국장</t>
  </si>
  <si>
    <t>ㅇ 시책추진업무추진비</t>
  </si>
  <si>
    <t>­ 운영부</t>
  </si>
  <si>
    <t>­ 사업부</t>
  </si>
  <si>
    <t>215 관서업무비</t>
  </si>
  <si>
    <t>ㅇ 부서운영업무추진비</t>
  </si>
  <si>
    <t>ㅇ 정원가산업무추진비</t>
  </si>
  <si>
    <t>216 교육훈련비</t>
  </si>
  <si>
    <t>ㅇ교육훈련비</t>
    <phoneticPr fontId="2" type="noConversion"/>
  </si>
  <si>
    <t>ㅇ교육훈련비</t>
    <phoneticPr fontId="7" type="noConversion"/>
  </si>
  <si>
    <t>­ 직원교육지원</t>
    <phoneticPr fontId="7" type="noConversion"/>
  </si>
  <si>
    <t>ㅇ워크숍 등</t>
    <phoneticPr fontId="7" type="noConversion"/>
  </si>
  <si>
    <t>­ 재단워크숍</t>
    <phoneticPr fontId="7" type="noConversion"/>
  </si>
  <si>
    <t>217 재료비기타</t>
  </si>
  <si>
    <t>ㅇ재료비기타</t>
  </si>
  <si>
    <t>­ 시설공구구입</t>
  </si>
  <si>
    <t>­ 안전재료구입</t>
  </si>
  <si>
    <t>218 행사홍보비</t>
  </si>
  <si>
    <t>ㅇ홍보물 제작</t>
  </si>
  <si>
    <t>­ 대, 소봉투, 쇼핑백 등</t>
    <phoneticPr fontId="7" type="noConversion"/>
  </si>
  <si>
    <t>­ 기타 홍보물(현수막 등)</t>
    <phoneticPr fontId="7" type="noConversion"/>
  </si>
  <si>
    <t>ㅇ재단행사</t>
    <phoneticPr fontId="7" type="noConversion"/>
  </si>
  <si>
    <t>­ 신년회 및 시무식</t>
    <phoneticPr fontId="7" type="noConversion"/>
  </si>
  <si>
    <t>­ 월례회의 진행비</t>
    <phoneticPr fontId="7" type="noConversion"/>
  </si>
  <si>
    <t>220 회의운영비</t>
  </si>
  <si>
    <t>ㅇ 이사회</t>
  </si>
  <si>
    <t>­ 참석수당 및 운영비</t>
    <phoneticPr fontId="7" type="noConversion"/>
  </si>
  <si>
    <t>ㅇ 인사운영위원회</t>
  </si>
  <si>
    <t>ㅇ 운영위원회</t>
  </si>
  <si>
    <t>ㅇ 전문위원회</t>
    <phoneticPr fontId="7" type="noConversion"/>
  </si>
  <si>
    <t>ㅇ 노사협의회</t>
    <phoneticPr fontId="7" type="noConversion"/>
  </si>
  <si>
    <t>­ 노사협의회 운영비</t>
    <phoneticPr fontId="7" type="noConversion"/>
  </si>
  <si>
    <t>221 연구개발비</t>
  </si>
  <si>
    <t>ㅇ 경영진단용역</t>
    <phoneticPr fontId="7" type="noConversion"/>
  </si>
  <si>
    <t>­ 경영평가 컨설팅 연구용역</t>
    <phoneticPr fontId="7" type="noConversion"/>
  </si>
  <si>
    <t>405 자산취득비</t>
    <phoneticPr fontId="7" type="noConversion"/>
  </si>
  <si>
    <t>405-1 자산취득비</t>
  </si>
  <si>
    <t>713-1 성과급</t>
    <phoneticPr fontId="7" type="noConversion"/>
  </si>
  <si>
    <t>ㅇ성과급</t>
    <phoneticPr fontId="7" type="noConversion"/>
  </si>
  <si>
    <t>­ 성과급(대표이사)</t>
    <phoneticPr fontId="7" type="noConversion"/>
  </si>
  <si>
    <t>­ 성과급(직원)</t>
    <phoneticPr fontId="7" type="noConversion"/>
  </si>
  <si>
    <t>720 청소년사업비</t>
  </si>
  <si>
    <t>721 보조금사업비</t>
  </si>
  <si>
    <t>721-1 국도시비보조금사업비</t>
  </si>
  <si>
    <t>722 목적사업비</t>
  </si>
  <si>
    <t>722-1 청소년 참여와 활동</t>
    <phoneticPr fontId="7" type="noConversion"/>
  </si>
  <si>
    <t>­ 운영비</t>
    <phoneticPr fontId="2" type="noConversion"/>
  </si>
  <si>
    <t xml:space="preserve">× </t>
    <phoneticPr fontId="2" type="noConversion"/>
  </si>
  <si>
    <t>=</t>
    <phoneticPr fontId="2" type="noConversion"/>
  </si>
  <si>
    <t>ㅇ고양시청소년의회</t>
    <phoneticPr fontId="2" type="noConversion"/>
  </si>
  <si>
    <t>­ 인건비</t>
    <phoneticPr fontId="2" type="noConversion"/>
  </si>
  <si>
    <t xml:space="preserve">× </t>
    <phoneticPr fontId="2" type="noConversion"/>
  </si>
  <si>
    <t>­ 운영비</t>
    <phoneticPr fontId="2" type="noConversion"/>
  </si>
  <si>
    <t>­ 홍보비</t>
    <phoneticPr fontId="2" type="noConversion"/>
  </si>
  <si>
    <t>ㅇ고양시청소년의달축제</t>
    <phoneticPr fontId="2" type="noConversion"/>
  </si>
  <si>
    <t>=</t>
    <phoneticPr fontId="2" type="noConversion"/>
  </si>
  <si>
    <t xml:space="preserve">× </t>
    <phoneticPr fontId="2" type="noConversion"/>
  </si>
  <si>
    <t>=</t>
    <phoneticPr fontId="2" type="noConversion"/>
  </si>
  <si>
    <t>­ 홍보비</t>
    <phoneticPr fontId="2" type="noConversion"/>
  </si>
  <si>
    <t>ㅇ고양시청소년활동정보시스템</t>
    <phoneticPr fontId="2" type="noConversion"/>
  </si>
  <si>
    <t>­ 유지보수비</t>
    <phoneticPr fontId="2" type="noConversion"/>
  </si>
  <si>
    <t>­ 구축비</t>
    <phoneticPr fontId="2" type="noConversion"/>
  </si>
  <si>
    <t xml:space="preserve">× </t>
    <phoneticPr fontId="2" type="noConversion"/>
  </si>
  <si>
    <t>=</t>
    <phoneticPr fontId="2" type="noConversion"/>
  </si>
  <si>
    <t>800 예비비</t>
    <phoneticPr fontId="2" type="noConversion"/>
  </si>
  <si>
    <t>810-1 예비비</t>
    <phoneticPr fontId="2" type="noConversion"/>
  </si>
  <si>
    <t>[일반회계]</t>
    <phoneticPr fontId="2" type="noConversion"/>
  </si>
  <si>
    <t>(단위:천원)</t>
    <phoneticPr fontId="2" type="noConversion"/>
  </si>
  <si>
    <t>예산과목</t>
    <phoneticPr fontId="2" type="noConversion"/>
  </si>
  <si>
    <t>산출내역</t>
    <phoneticPr fontId="2" type="noConversion"/>
  </si>
  <si>
    <t>예산액</t>
    <phoneticPr fontId="2" type="noConversion"/>
  </si>
  <si>
    <t>증감</t>
    <phoneticPr fontId="2" type="noConversion"/>
  </si>
  <si>
    <t>증감률</t>
    <phoneticPr fontId="2" type="noConversion"/>
  </si>
  <si>
    <t>장</t>
    <phoneticPr fontId="2" type="noConversion"/>
  </si>
  <si>
    <t>관</t>
    <phoneticPr fontId="2" type="noConversion"/>
  </si>
  <si>
    <t>항</t>
    <phoneticPr fontId="2" type="noConversion"/>
  </si>
  <si>
    <t>세목</t>
    <phoneticPr fontId="2" type="noConversion"/>
  </si>
  <si>
    <t>600 사업수익</t>
    <phoneticPr fontId="2" type="noConversion"/>
  </si>
  <si>
    <t>ㅇ교육문화프로그램</t>
    <phoneticPr fontId="2" type="noConversion"/>
  </si>
  <si>
    <t>­ 기타교실(청소년)</t>
    <phoneticPr fontId="2" type="noConversion"/>
  </si>
  <si>
    <t>­ 기타교실(성인)</t>
    <phoneticPr fontId="2" type="noConversion"/>
  </si>
  <si>
    <t>­ 손뜨개질</t>
    <phoneticPr fontId="2" type="noConversion"/>
  </si>
  <si>
    <t>­ 과학실험</t>
    <phoneticPr fontId="2" type="noConversion"/>
  </si>
  <si>
    <t xml:space="preserve"> - 요가 외 9강좌</t>
    <phoneticPr fontId="2" type="noConversion"/>
  </si>
  <si>
    <t>­ 독서논술</t>
    <phoneticPr fontId="2" type="noConversion"/>
  </si>
  <si>
    <t>­ 중등논술</t>
    <phoneticPr fontId="2" type="noConversion"/>
  </si>
  <si>
    <t>ㅇ생활체육프로그램</t>
    <phoneticPr fontId="2" type="noConversion"/>
  </si>
  <si>
    <t>­ 요가(청소년)</t>
    <phoneticPr fontId="2" type="noConversion"/>
  </si>
  <si>
    <t>­ 요가(성인)</t>
    <phoneticPr fontId="2" type="noConversion"/>
  </si>
  <si>
    <t xml:space="preserve"> - 청소년농구 외 8강좌</t>
    <phoneticPr fontId="2" type="noConversion"/>
  </si>
  <si>
    <t>­ 필라테스(성인)</t>
    <phoneticPr fontId="2" type="noConversion"/>
  </si>
  <si>
    <t>­ 발레</t>
    <phoneticPr fontId="2" type="noConversion"/>
  </si>
  <si>
    <t>­ 방송댄스</t>
    <phoneticPr fontId="2" type="noConversion"/>
  </si>
  <si>
    <t>­ 라인댄스</t>
    <phoneticPr fontId="2" type="noConversion"/>
  </si>
  <si>
    <t>­ 청소년요가필라테스</t>
    <phoneticPr fontId="2" type="noConversion"/>
  </si>
  <si>
    <t>­ 음악줄넘기</t>
    <phoneticPr fontId="2" type="noConversion"/>
  </si>
  <si>
    <t>­ 탁구교실</t>
    <phoneticPr fontId="2" type="noConversion"/>
  </si>
  <si>
    <t>­ 청소년탁구</t>
    <phoneticPr fontId="2" type="noConversion"/>
  </si>
  <si>
    <t>­ 클라이밍(청소년)</t>
    <phoneticPr fontId="2" type="noConversion"/>
  </si>
  <si>
    <t>자체사업비</t>
    <phoneticPr fontId="2" type="noConversion"/>
  </si>
  <si>
    <t>­ 휘트니스(청소년)</t>
    <phoneticPr fontId="2" type="noConversion"/>
  </si>
  <si>
    <t>ㅇ놀토(놀라운토요일)학교</t>
    <phoneticPr fontId="2" type="noConversion"/>
  </si>
  <si>
    <t>­ 청소년농구</t>
    <phoneticPr fontId="2" type="noConversion"/>
  </si>
  <si>
    <t>­ 음악줄넘기</t>
    <phoneticPr fontId="2" type="noConversion"/>
  </si>
  <si>
    <t>­ 클라이밍</t>
    <phoneticPr fontId="2" type="noConversion"/>
  </si>
  <si>
    <t>­ 소묘</t>
    <phoneticPr fontId="2" type="noConversion"/>
  </si>
  <si>
    <t>­ 원어민영어(청소년)</t>
    <phoneticPr fontId="2" type="noConversion"/>
  </si>
  <si>
    <t>­ 원어민영어(성인)</t>
    <phoneticPr fontId="2" type="noConversion"/>
  </si>
  <si>
    <t>611-2 참가금수익</t>
    <phoneticPr fontId="2" type="noConversion"/>
  </si>
  <si>
    <t>ㅇ고양형평화통일사업</t>
    <phoneticPr fontId="2" type="noConversion"/>
  </si>
  <si>
    <t>ㅇ학교연계참가비</t>
    <phoneticPr fontId="2" type="noConversion"/>
  </si>
  <si>
    <t>ㅇ청소년문화캠프</t>
    <phoneticPr fontId="2" type="noConversion"/>
  </si>
  <si>
    <t>ㅇ국가간청소년교류캠프</t>
    <phoneticPr fontId="2" type="noConversion"/>
  </si>
  <si>
    <t>617 기타영업수익</t>
    <phoneticPr fontId="2" type="noConversion"/>
  </si>
  <si>
    <t>617-1 시설사용료수익</t>
    <phoneticPr fontId="2" type="noConversion"/>
  </si>
  <si>
    <t>ㅇ대관수입</t>
  </si>
  <si>
    <t>­ 대관사용료</t>
  </si>
  <si>
    <t>617-3 기타수수료수입</t>
    <phoneticPr fontId="2" type="noConversion"/>
  </si>
  <si>
    <t>ㅇ부가가치세환급</t>
    <phoneticPr fontId="2" type="noConversion"/>
  </si>
  <si>
    <t>ㅇ기타수입</t>
    <phoneticPr fontId="2" type="noConversion"/>
  </si>
  <si>
    <t>­ 기타수입</t>
    <phoneticPr fontId="2" type="noConversion"/>
  </si>
  <si>
    <t>=</t>
    <phoneticPr fontId="2" type="noConversion"/>
  </si>
  <si>
    <t xml:space="preserve">× </t>
    <phoneticPr fontId="2" type="noConversion"/>
  </si>
  <si>
    <t>172 이월금</t>
    <phoneticPr fontId="2" type="noConversion"/>
  </si>
  <si>
    <t>2018년 세출예산서(안)</t>
    <phoneticPr fontId="2" type="noConversion"/>
  </si>
  <si>
    <t>[일반회계]</t>
    <phoneticPr fontId="2" type="noConversion"/>
  </si>
  <si>
    <t>(단위:천원)</t>
    <phoneticPr fontId="2" type="noConversion"/>
  </si>
  <si>
    <t>산출내역</t>
    <phoneticPr fontId="2" type="noConversion"/>
  </si>
  <si>
    <t>전년도
예산액</t>
    <phoneticPr fontId="2" type="noConversion"/>
  </si>
  <si>
    <t>증감률</t>
    <phoneticPr fontId="2" type="noConversion"/>
  </si>
  <si>
    <t>장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</si>
  <si>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</si>
  <si>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</si>
  <si>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</si>
  <si>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700 사업비용</t>
    <phoneticPr fontId="2" type="noConversion"/>
  </si>
  <si>
    <t>710 영업비용</t>
    <phoneticPr fontId="2" type="noConversion"/>
  </si>
  <si>
    <t>100 인건비</t>
    <phoneticPr fontId="2" type="noConversion"/>
  </si>
  <si>
    <t>101 급여</t>
    <phoneticPr fontId="2" type="noConversion"/>
  </si>
  <si>
    <t>ㅇ기본급</t>
    <phoneticPr fontId="2" type="noConversion"/>
  </si>
  <si>
    <t>- 팀장(6급)</t>
    <phoneticPr fontId="2" type="noConversion"/>
  </si>
  <si>
    <t>- 사원(7급)</t>
    <phoneticPr fontId="2" type="noConversion"/>
  </si>
  <si>
    <t>ㅇ급량비</t>
    <phoneticPr fontId="2" type="noConversion"/>
  </si>
  <si>
    <t>- 정액급식비</t>
    <phoneticPr fontId="2" type="noConversion"/>
  </si>
  <si>
    <t>ㅇ자격수당</t>
    <phoneticPr fontId="2" type="noConversion"/>
  </si>
  <si>
    <t>ㅇ시간외/당직근무수당</t>
    <phoneticPr fontId="2" type="noConversion"/>
  </si>
  <si>
    <t>ㅇ정근수당</t>
    <phoneticPr fontId="2" type="noConversion"/>
  </si>
  <si>
    <t>- 관장(4급)</t>
    <phoneticPr fontId="2" type="noConversion"/>
  </si>
  <si>
    <t>ㅇ정근수당가산금</t>
    <phoneticPr fontId="2" type="noConversion"/>
  </si>
  <si>
    <t>- 20년 이상</t>
    <phoneticPr fontId="2" type="noConversion"/>
  </si>
  <si>
    <t>- 10년 이상</t>
    <phoneticPr fontId="2" type="noConversion"/>
  </si>
  <si>
    <t>- 5년 이상</t>
    <phoneticPr fontId="2" type="noConversion"/>
  </si>
  <si>
    <t>- 팀장(6급)</t>
    <phoneticPr fontId="2" type="noConversion"/>
  </si>
  <si>
    <t>- 사원(7급)</t>
    <phoneticPr fontId="2" type="noConversion"/>
  </si>
  <si>
    <t>ㅇ연가보상비</t>
    <phoneticPr fontId="2" type="noConversion"/>
  </si>
  <si>
    <t>ㅇ퇴직급여충당금</t>
    <phoneticPr fontId="2" type="noConversion"/>
  </si>
  <si>
    <t>­ 퇴직급여충당금</t>
    <phoneticPr fontId="2" type="noConversion"/>
  </si>
  <si>
    <t>200 경비</t>
    <phoneticPr fontId="2" type="noConversion"/>
  </si>
  <si>
    <t>ㅇ사회4대보험</t>
    <phoneticPr fontId="2" type="noConversion"/>
  </si>
  <si>
    <t>­ 국민건강보험부담금</t>
    <phoneticPr fontId="2" type="noConversion"/>
  </si>
  <si>
    <t>­ 장기요양보험부담금</t>
    <phoneticPr fontId="2" type="noConversion"/>
  </si>
  <si>
    <t>­ 고용보험부담금</t>
    <phoneticPr fontId="2" type="noConversion"/>
  </si>
  <si>
    <t>­ 산재보험부담금</t>
    <phoneticPr fontId="2" type="noConversion"/>
  </si>
  <si>
    <t>203 공공요금 및 제세</t>
    <phoneticPr fontId="2" type="noConversion"/>
  </si>
  <si>
    <t>ㅇ발송비</t>
    <phoneticPr fontId="2" type="noConversion"/>
  </si>
  <si>
    <t>ㅇ협회비및부담금</t>
    <phoneticPr fontId="2" type="noConversion"/>
  </si>
  <si>
    <t>­ 소방안전협회비</t>
    <phoneticPr fontId="2" type="noConversion"/>
  </si>
  <si>
    <t>­ 청소년시설협회비</t>
    <phoneticPr fontId="2" type="noConversion"/>
  </si>
  <si>
    <t>204 수도광열비</t>
    <phoneticPr fontId="2" type="noConversion"/>
  </si>
  <si>
    <t>ㅇ수도광열비</t>
    <phoneticPr fontId="2" type="noConversion"/>
  </si>
  <si>
    <t>­  상하수도요금</t>
    <phoneticPr fontId="2" type="noConversion"/>
  </si>
  <si>
    <t>206 소모품비</t>
    <phoneticPr fontId="2" type="noConversion"/>
  </si>
  <si>
    <t>­ 사무용품비</t>
    <phoneticPr fontId="2" type="noConversion"/>
  </si>
  <si>
    <t>­ 복사용지</t>
    <phoneticPr fontId="2" type="noConversion"/>
  </si>
  <si>
    <t>ㅇ청소용품비</t>
    <phoneticPr fontId="2" type="noConversion"/>
  </si>
  <si>
    <t>­청소용소모품비</t>
    <phoneticPr fontId="2" type="noConversion"/>
  </si>
  <si>
    <t>208 도서인쇄비</t>
    <phoneticPr fontId="2" type="noConversion"/>
  </si>
  <si>
    <t>ㅇ도서인쇄비</t>
    <phoneticPr fontId="2" type="noConversion"/>
  </si>
  <si>
    <t>­ 정기간행물 및 업무용도서구입비</t>
    <phoneticPr fontId="2" type="noConversion"/>
  </si>
  <si>
    <t>209 지급임차료</t>
    <phoneticPr fontId="2" type="noConversion"/>
  </si>
  <si>
    <t>ㅇ지급임차료</t>
    <phoneticPr fontId="2" type="noConversion"/>
  </si>
  <si>
    <t>­ 복합기임차료</t>
    <phoneticPr fontId="2" type="noConversion"/>
  </si>
  <si>
    <t>­ 차량임차료</t>
    <phoneticPr fontId="2" type="noConversion"/>
  </si>
  <si>
    <t>­ 공기청정기임차료</t>
    <phoneticPr fontId="2" type="noConversion"/>
  </si>
  <si>
    <t>­ 냉온정수기임차료</t>
    <phoneticPr fontId="2" type="noConversion"/>
  </si>
  <si>
    <t>210 수선유지비</t>
    <phoneticPr fontId="2" type="noConversion"/>
  </si>
  <si>
    <t>­ 소방유지관리비</t>
    <phoneticPr fontId="2" type="noConversion"/>
  </si>
  <si>
    <t>ㅇ차량유지비</t>
    <phoneticPr fontId="2" type="noConversion"/>
  </si>
  <si>
    <t>­ 주유비 및 수리</t>
    <phoneticPr fontId="2" type="noConversion"/>
  </si>
  <si>
    <t>212 보험료</t>
    <phoneticPr fontId="2" type="noConversion"/>
  </si>
  <si>
    <t>­ 수련시설종합보험료</t>
    <phoneticPr fontId="2" type="noConversion"/>
  </si>
  <si>
    <t>­ 이행보증보험</t>
    <phoneticPr fontId="2" type="noConversion"/>
  </si>
  <si>
    <t>213 지급수수료</t>
    <phoneticPr fontId="2" type="noConversion"/>
  </si>
  <si>
    <t>­ 무인경비시스템유지관리비</t>
    <phoneticPr fontId="2" type="noConversion"/>
  </si>
  <si>
    <t>­ 해충방제방역유지관리비</t>
    <phoneticPr fontId="2" type="noConversion"/>
  </si>
  <si>
    <t>­ 수질검사수수료</t>
    <phoneticPr fontId="2" type="noConversion"/>
  </si>
  <si>
    <t>­ 승강기정기검사수수료</t>
    <phoneticPr fontId="2" type="noConversion"/>
  </si>
  <si>
    <t>ㅇ재료비기타</t>
    <phoneticPr fontId="2" type="noConversion"/>
  </si>
  <si>
    <t>­ 안전재료구입</t>
    <phoneticPr fontId="2" type="noConversion"/>
  </si>
  <si>
    <t>220 회의운영비</t>
    <phoneticPr fontId="2" type="noConversion"/>
  </si>
  <si>
    <t>405-1 자산취득비</t>
    <phoneticPr fontId="2" type="noConversion"/>
  </si>
  <si>
    <t>ㅇ자산취득비</t>
    <phoneticPr fontId="2" type="noConversion"/>
  </si>
  <si>
    <t>720 청소년사업비</t>
    <phoneticPr fontId="2" type="noConversion"/>
  </si>
  <si>
    <t>ㅇ자치동아리 운영</t>
    <phoneticPr fontId="2" type="noConversion"/>
  </si>
  <si>
    <t xml:space="preserve">   - 자원봉사활동운영</t>
    <phoneticPr fontId="2" type="noConversion"/>
  </si>
  <si>
    <t>730 자체사업비</t>
    <phoneticPr fontId="2" type="noConversion"/>
  </si>
  <si>
    <t>105 기간제근로자보수</t>
    <phoneticPr fontId="2" type="noConversion"/>
  </si>
  <si>
    <t>­ 퇴직금</t>
    <phoneticPr fontId="2" type="noConversion"/>
  </si>
  <si>
    <t>201 복리후생비</t>
    <phoneticPr fontId="2" type="noConversion"/>
  </si>
  <si>
    <t>­ 장기요양보험부담금</t>
    <phoneticPr fontId="2" type="noConversion"/>
  </si>
  <si>
    <t>­ 고용보험부담금</t>
    <phoneticPr fontId="2" type="noConversion"/>
  </si>
  <si>
    <t>­ 산재보험부담금</t>
    <phoneticPr fontId="2" type="noConversion"/>
  </si>
  <si>
    <t>­ 특근매식비</t>
    <phoneticPr fontId="2" type="noConversion"/>
  </si>
  <si>
    <t>ㅇ직원복지</t>
    <phoneticPr fontId="2" type="noConversion"/>
  </si>
  <si>
    <t>­ 선택적복지제도</t>
    <phoneticPr fontId="2" type="noConversion"/>
  </si>
  <si>
    <t>202 여비</t>
    <phoneticPr fontId="2" type="noConversion"/>
  </si>
  <si>
    <t>­ 국내여비</t>
    <phoneticPr fontId="2" type="noConversion"/>
  </si>
  <si>
    <t>203 공공요금 및 제세</t>
    <phoneticPr fontId="2" type="noConversion"/>
  </si>
  <si>
    <t>ㅇ약품구입비</t>
    <phoneticPr fontId="2" type="noConversion"/>
  </si>
  <si>
    <t>207 피복비</t>
    <phoneticPr fontId="2" type="noConversion"/>
  </si>
  <si>
    <t>ㅇ피복비</t>
    <phoneticPr fontId="2" type="noConversion"/>
  </si>
  <si>
    <t>­ 직원피복비</t>
    <phoneticPr fontId="2" type="noConversion"/>
  </si>
  <si>
    <t>ㅇ지급수수료</t>
    <phoneticPr fontId="2" type="noConversion"/>
  </si>
  <si>
    <t>214 업무추진비</t>
    <phoneticPr fontId="2" type="noConversion"/>
  </si>
  <si>
    <t>­ 기관운영업무추진비</t>
    <phoneticPr fontId="2" type="noConversion"/>
  </si>
  <si>
    <t>­ 시책추진업무추진비</t>
    <phoneticPr fontId="2" type="noConversion"/>
  </si>
  <si>
    <t>215 관서업무비</t>
    <phoneticPr fontId="2" type="noConversion"/>
  </si>
  <si>
    <t>ㅇ 관서업무비</t>
    <phoneticPr fontId="2" type="noConversion"/>
  </si>
  <si>
    <t>­ 부서운영업무추진비</t>
    <phoneticPr fontId="2" type="noConversion"/>
  </si>
  <si>
    <t xml:space="preserve">  · 사업1팀</t>
    <phoneticPr fontId="2" type="noConversion"/>
  </si>
  <si>
    <t>216 교육훈련비</t>
    <phoneticPr fontId="2" type="noConversion"/>
  </si>
  <si>
    <t>­ 시설워크숍</t>
    <phoneticPr fontId="2" type="noConversion"/>
  </si>
  <si>
    <t>405-1 자산취득비</t>
    <phoneticPr fontId="2" type="noConversion"/>
  </si>
  <si>
    <t>ㅇ자산취득비</t>
    <phoneticPr fontId="2" type="noConversion"/>
  </si>
  <si>
    <t xml:space="preserve">   - 강사간담회운영비</t>
    <phoneticPr fontId="2" type="noConversion"/>
  </si>
  <si>
    <t>ㅇ북카페운영</t>
    <phoneticPr fontId="2" type="noConversion"/>
  </si>
  <si>
    <t xml:space="preserve">   - 열린공간(단기특강)</t>
    <phoneticPr fontId="2" type="noConversion"/>
  </si>
  <si>
    <t>731-3 청소년활동사업</t>
    <phoneticPr fontId="2" type="noConversion"/>
  </si>
  <si>
    <t>ㅇ청소년열린공간운영</t>
    <phoneticPr fontId="2" type="noConversion"/>
  </si>
  <si>
    <t>- 열린공간운영비(청소년축제등)</t>
    <phoneticPr fontId="2" type="noConversion"/>
  </si>
  <si>
    <t>- 기타체류비</t>
    <phoneticPr fontId="2" type="noConversion"/>
  </si>
  <si>
    <t>ㅇ학교연계</t>
    <phoneticPr fontId="2" type="noConversion"/>
  </si>
  <si>
    <t>- 학교연계사업운영비</t>
    <phoneticPr fontId="2" type="noConversion"/>
  </si>
  <si>
    <t>731-4 홍보사업</t>
    <phoneticPr fontId="2" type="noConversion"/>
  </si>
  <si>
    <t>ㅇ홍보사업운영</t>
    <phoneticPr fontId="2" type="noConversion"/>
  </si>
  <si>
    <t>800 예비비</t>
    <phoneticPr fontId="2" type="noConversion"/>
  </si>
  <si>
    <t>810 예비비</t>
    <phoneticPr fontId="2" type="noConversion"/>
  </si>
  <si>
    <t>810-1 예비비</t>
    <phoneticPr fontId="2" type="noConversion"/>
  </si>
  <si>
    <t>[일반회계]</t>
    <phoneticPr fontId="2" type="noConversion"/>
  </si>
  <si>
    <t>(단위:천원)</t>
    <phoneticPr fontId="2" type="noConversion"/>
  </si>
  <si>
    <t>예산과목</t>
    <phoneticPr fontId="2" type="noConversion"/>
  </si>
  <si>
    <t>산출내역</t>
    <phoneticPr fontId="2" type="noConversion"/>
  </si>
  <si>
    <t>증감률</t>
    <phoneticPr fontId="2" type="noConversion"/>
  </si>
  <si>
    <t>세목</t>
    <phoneticPr fontId="2" type="noConversion"/>
  </si>
  <si>
    <t>세세목</t>
    <phoneticPr fontId="2" type="noConversion"/>
  </si>
  <si>
    <t>610 영업수익</t>
    <phoneticPr fontId="2" type="noConversion"/>
  </si>
  <si>
    <t>611 자체사업수익</t>
    <phoneticPr fontId="2" type="noConversion"/>
  </si>
  <si>
    <t>­ 청소년특강</t>
    <phoneticPr fontId="2" type="noConversion"/>
  </si>
  <si>
    <t>617 기타영업수익</t>
    <phoneticPr fontId="2" type="noConversion"/>
  </si>
  <si>
    <t>­ 시설/장비사용료</t>
    <phoneticPr fontId="2" type="noConversion"/>
  </si>
  <si>
    <t>620 영업외수익</t>
    <phoneticPr fontId="2" type="noConversion"/>
  </si>
  <si>
    <t>621 이자수익</t>
    <phoneticPr fontId="2" type="noConversion"/>
  </si>
  <si>
    <t>621-1 예금이자수익</t>
    <phoneticPr fontId="2" type="noConversion"/>
  </si>
  <si>
    <t>ㅇ예금이자수익</t>
    <phoneticPr fontId="2" type="noConversion"/>
  </si>
  <si>
    <t>­ 예금이자</t>
    <phoneticPr fontId="2" type="noConversion"/>
  </si>
  <si>
    <t>623-1 국도시비보조금</t>
    <phoneticPr fontId="2" type="noConversion"/>
  </si>
  <si>
    <t>625 출자출연금수익</t>
    <phoneticPr fontId="2" type="noConversion"/>
  </si>
  <si>
    <t>100 자본적수입</t>
    <phoneticPr fontId="2" type="noConversion"/>
  </si>
  <si>
    <t>ㅇ전년도이월금</t>
    <phoneticPr fontId="2" type="noConversion"/>
  </si>
  <si>
    <t>­  전년도이월금</t>
    <phoneticPr fontId="2" type="noConversion"/>
  </si>
  <si>
    <t>2018년 세출예산서(안)</t>
    <phoneticPr fontId="2" type="noConversion"/>
  </si>
  <si>
    <t>예산액</t>
    <phoneticPr fontId="2" type="noConversion"/>
  </si>
  <si>
    <t>증감</t>
    <phoneticPr fontId="2" type="noConversion"/>
  </si>
  <si>
    <t>700 사업비용</t>
    <phoneticPr fontId="2" type="noConversion"/>
  </si>
  <si>
    <t>710 영업비용</t>
    <phoneticPr fontId="2" type="noConversion"/>
  </si>
  <si>
    <t>100 인건비</t>
    <phoneticPr fontId="2" type="noConversion"/>
  </si>
  <si>
    <t>ㅇ기본급</t>
    <phoneticPr fontId="2" type="noConversion"/>
  </si>
  <si>
    <t>- 사원(7급)</t>
    <phoneticPr fontId="2" type="noConversion"/>
  </si>
  <si>
    <t>102 제수당</t>
    <phoneticPr fontId="2" type="noConversion"/>
  </si>
  <si>
    <t>ㅇ직급보조비</t>
    <phoneticPr fontId="2" type="noConversion"/>
  </si>
  <si>
    <t>- 팀장(6급)</t>
    <phoneticPr fontId="2" type="noConversion"/>
  </si>
  <si>
    <t>- 사원(배치)</t>
    <phoneticPr fontId="2" type="noConversion"/>
  </si>
  <si>
    <t xml:space="preserve">   · 배우자</t>
    <phoneticPr fontId="2" type="noConversion"/>
  </si>
  <si>
    <t>ㅇ급량비</t>
    <phoneticPr fontId="2" type="noConversion"/>
  </si>
  <si>
    <t>- 청소년지도사</t>
    <phoneticPr fontId="2" type="noConversion"/>
  </si>
  <si>
    <t xml:space="preserve"> - 시간외및당직근무수당</t>
    <phoneticPr fontId="2" type="noConversion"/>
  </si>
  <si>
    <t>ㅇ명절휴가비</t>
    <phoneticPr fontId="2" type="noConversion"/>
  </si>
  <si>
    <t>ㅇ연가보상비</t>
    <phoneticPr fontId="2" type="noConversion"/>
  </si>
  <si>
    <t>- 연가보상비</t>
    <phoneticPr fontId="2" type="noConversion"/>
  </si>
  <si>
    <t>106 퇴직급여</t>
    <phoneticPr fontId="2" type="noConversion"/>
  </si>
  <si>
    <t>­ 퇴직급여충당금</t>
    <phoneticPr fontId="2" type="noConversion"/>
  </si>
  <si>
    <t>ㅇ사회4대보험</t>
    <phoneticPr fontId="2" type="noConversion"/>
  </si>
  <si>
    <t>­ 국민연금부담금</t>
    <phoneticPr fontId="2" type="noConversion"/>
  </si>
  <si>
    <t>­ 국민건강보험부담금</t>
    <phoneticPr fontId="2" type="noConversion"/>
  </si>
  <si>
    <t>­ 고용보험부담금</t>
    <phoneticPr fontId="2" type="noConversion"/>
  </si>
  <si>
    <t>­ 방과후아카데미보험</t>
    <phoneticPr fontId="2" type="noConversion"/>
  </si>
  <si>
    <t>203 공공요금 및 제세</t>
    <phoneticPr fontId="2" type="noConversion"/>
  </si>
  <si>
    <t>­ 시설협회비</t>
    <phoneticPr fontId="2" type="noConversion"/>
  </si>
  <si>
    <t>­  정수기임차료</t>
    <phoneticPr fontId="2" type="noConversion"/>
  </si>
  <si>
    <t>- 각종유지보수 및 관리비</t>
    <phoneticPr fontId="2" type="noConversion"/>
  </si>
  <si>
    <t>­ PC유지관리비</t>
    <phoneticPr fontId="2" type="noConversion"/>
  </si>
  <si>
    <t>­ 직원상해보험료</t>
    <phoneticPr fontId="2" type="noConversion"/>
  </si>
  <si>
    <t>722 목적사업비</t>
    <phoneticPr fontId="2" type="noConversion"/>
  </si>
  <si>
    <t>ㅇ청소년문화</t>
    <phoneticPr fontId="2" type="noConversion"/>
  </si>
  <si>
    <t>­ 청소년동아리지원</t>
    <phoneticPr fontId="2" type="noConversion"/>
  </si>
  <si>
    <t>­ 청소년자치캠프</t>
    <phoneticPr fontId="2" type="noConversion"/>
  </si>
  <si>
    <t>­ 동아리연합회</t>
    <phoneticPr fontId="2" type="noConversion"/>
  </si>
  <si>
    <t>- 청소년 기획 활동</t>
    <phoneticPr fontId="2" type="noConversion"/>
  </si>
  <si>
    <t>722-3 청소년안전</t>
    <phoneticPr fontId="2" type="noConversion"/>
  </si>
  <si>
    <t>731 직영사업비</t>
    <phoneticPr fontId="2" type="noConversion"/>
  </si>
  <si>
    <t>201 복리후생비</t>
    <phoneticPr fontId="2" type="noConversion"/>
  </si>
  <si>
    <t>ㅇ직원복지</t>
    <phoneticPr fontId="2" type="noConversion"/>
  </si>
  <si>
    <t>214 업무추진비</t>
    <phoneticPr fontId="2" type="noConversion"/>
  </si>
  <si>
    <t>ㅇ 업무추진비</t>
    <phoneticPr fontId="2" type="noConversion"/>
  </si>
  <si>
    <t>­ 시책추진업무추진비</t>
    <phoneticPr fontId="2" type="noConversion"/>
  </si>
  <si>
    <t>ㅇ 관서업무비</t>
    <phoneticPr fontId="2" type="noConversion"/>
  </si>
  <si>
    <t>2018년 세입예산서(안)</t>
    <phoneticPr fontId="7" type="noConversion"/>
  </si>
  <si>
    <t>171 잉여금</t>
    <phoneticPr fontId="7" type="noConversion"/>
  </si>
  <si>
    <t>ㅇ순세계잉여금</t>
    <phoneticPr fontId="7" type="noConversion"/>
  </si>
  <si>
    <t>­  사무국잉여금</t>
    <phoneticPr fontId="7" type="noConversion"/>
  </si>
  <si>
    <t>고양시청소년재단사무국</t>
    <phoneticPr fontId="7" type="noConversion"/>
  </si>
  <si>
    <t>- 부장(5급)-(7급상당)</t>
    <phoneticPr fontId="7" type="noConversion"/>
  </si>
  <si>
    <t>- 사원(7급)-(9급상당)</t>
    <phoneticPr fontId="7" type="noConversion"/>
  </si>
  <si>
    <t>ㅇ직급보조비</t>
    <phoneticPr fontId="7" type="noConversion"/>
  </si>
  <si>
    <t>- 배우자</t>
    <phoneticPr fontId="7" type="noConversion"/>
  </si>
  <si>
    <t>- 부양가족</t>
    <phoneticPr fontId="7" type="noConversion"/>
  </si>
  <si>
    <t>- 부양가족 가산(둘째자녀)</t>
    <phoneticPr fontId="2" type="noConversion"/>
  </si>
  <si>
    <t>- 회계, 노무담당</t>
    <phoneticPr fontId="7" type="noConversion"/>
  </si>
  <si>
    <t>ㅇ정근수당가산금</t>
    <phoneticPr fontId="7" type="noConversion"/>
  </si>
  <si>
    <t>- 5년 이상</t>
    <phoneticPr fontId="7" type="noConversion"/>
  </si>
  <si>
    <t>- 10년 이상</t>
    <phoneticPr fontId="7" type="noConversion"/>
  </si>
  <si>
    <t>- 15년 이상</t>
    <phoneticPr fontId="7" type="noConversion"/>
  </si>
  <si>
    <t xml:space="preserve">× </t>
    <phoneticPr fontId="2" type="noConversion"/>
  </si>
  <si>
    <t>­ 행정전산장비 유지보수</t>
    <phoneticPr fontId="7" type="noConversion"/>
  </si>
  <si>
    <t>ㅇ 자산취득비</t>
    <phoneticPr fontId="7" type="noConversion"/>
  </si>
  <si>
    <t>­ 사무용 비품 및 자산취득물품</t>
    <phoneticPr fontId="7" type="noConversion"/>
  </si>
  <si>
    <t>ㅇ고양시청소년민주시민교육</t>
    <phoneticPr fontId="2" type="noConversion"/>
  </si>
  <si>
    <t>­ 평가비</t>
    <phoneticPr fontId="2" type="noConversion"/>
  </si>
  <si>
    <t>ㅇ고양시청소년국제교류지원</t>
    <phoneticPr fontId="2" type="noConversion"/>
  </si>
  <si>
    <t>­ 체재비</t>
    <phoneticPr fontId="2" type="noConversion"/>
  </si>
  <si>
    <t>ㅇ고양시청소년데이터베이스구축</t>
    <phoneticPr fontId="2" type="noConversion"/>
  </si>
  <si>
    <t>­ 기획단 운영</t>
    <phoneticPr fontId="2" type="noConversion"/>
  </si>
  <si>
    <t>ㅇ고양시청소년위탁공모사업</t>
    <phoneticPr fontId="2" type="noConversion"/>
  </si>
  <si>
    <t>­ 아웃리치</t>
    <phoneticPr fontId="2" type="noConversion"/>
  </si>
  <si>
    <t>800 예비비</t>
    <phoneticPr fontId="7" type="noConversion"/>
  </si>
  <si>
    <t>810 예비비</t>
    <phoneticPr fontId="7" type="noConversion"/>
  </si>
  <si>
    <t>ㅇ 예비비</t>
    <phoneticPr fontId="7" type="noConversion"/>
  </si>
  <si>
    <t>­ 예비비</t>
    <phoneticPr fontId="7" type="noConversion"/>
  </si>
  <si>
    <t>200 자본적지출</t>
    <phoneticPr fontId="7" type="noConversion"/>
  </si>
  <si>
    <t>290 기타자본적지출</t>
    <phoneticPr fontId="7" type="noConversion"/>
  </si>
  <si>
    <t>291 기본재산 적립</t>
    <phoneticPr fontId="7" type="noConversion"/>
  </si>
  <si>
    <t>291-01 기본재산 적립</t>
    <phoneticPr fontId="7" type="noConversion"/>
  </si>
  <si>
    <t>ㅇ자본금</t>
    <phoneticPr fontId="7" type="noConversion"/>
  </si>
  <si>
    <t>­ 자본금</t>
    <phoneticPr fontId="7" type="noConversion"/>
  </si>
  <si>
    <t>예산액</t>
    <phoneticPr fontId="2" type="noConversion"/>
  </si>
  <si>
    <t>목</t>
    <phoneticPr fontId="2" type="noConversion"/>
  </si>
  <si>
    <t>610 영업수익</t>
    <phoneticPr fontId="2" type="noConversion"/>
  </si>
  <si>
    <t>611 자체사업수익</t>
    <phoneticPr fontId="2" type="noConversion"/>
  </si>
  <si>
    <t>611-1 사업운영수익</t>
    <phoneticPr fontId="2" type="noConversion"/>
  </si>
  <si>
    <t xml:space="preserve">× </t>
    <phoneticPr fontId="2" type="noConversion"/>
  </si>
  <si>
    <t>=</t>
    <phoneticPr fontId="2" type="noConversion"/>
  </si>
  <si>
    <t>­ 초등미술</t>
    <phoneticPr fontId="2" type="noConversion"/>
  </si>
  <si>
    <t>­ 성인미술</t>
    <phoneticPr fontId="2" type="noConversion"/>
  </si>
  <si>
    <t>­ 캘리그라피</t>
    <phoneticPr fontId="2" type="noConversion"/>
  </si>
  <si>
    <t>­ 바이올린</t>
    <phoneticPr fontId="2" type="noConversion"/>
  </si>
  <si>
    <t>­ 플룻</t>
    <phoneticPr fontId="2" type="noConversion"/>
  </si>
  <si>
    <t>­ 클라리넷</t>
    <phoneticPr fontId="2" type="noConversion"/>
  </si>
  <si>
    <t>­ 우쿨렐레</t>
    <phoneticPr fontId="2" type="noConversion"/>
  </si>
  <si>
    <t>­ 중국어</t>
    <phoneticPr fontId="2" type="noConversion"/>
  </si>
  <si>
    <t>­ 필라테스(청소년)</t>
    <phoneticPr fontId="2" type="noConversion"/>
  </si>
  <si>
    <t>­ 그룹트레이닝</t>
    <phoneticPr fontId="2" type="noConversion"/>
  </si>
  <si>
    <t>­ 발레핏</t>
    <phoneticPr fontId="2" type="noConversion"/>
  </si>
  <si>
    <t>­ 클레식발레</t>
    <phoneticPr fontId="2" type="noConversion"/>
  </si>
  <si>
    <t>­ 줌바댄스</t>
    <phoneticPr fontId="2" type="noConversion"/>
  </si>
  <si>
    <t>­ 농구교실</t>
    <phoneticPr fontId="2" type="noConversion"/>
  </si>
  <si>
    <t>­ 클라이밍(성인)</t>
    <phoneticPr fontId="2" type="noConversion"/>
  </si>
  <si>
    <t>­ 휘트니스(청소년)</t>
    <phoneticPr fontId="2" type="noConversion"/>
  </si>
  <si>
    <t>­ 휘트니스(성인)</t>
    <phoneticPr fontId="2" type="noConversion"/>
  </si>
  <si>
    <t>­ 클레이아트</t>
    <phoneticPr fontId="2" type="noConversion"/>
  </si>
  <si>
    <t>­ 토요캘리그라피</t>
    <phoneticPr fontId="2" type="noConversion"/>
  </si>
  <si>
    <t xml:space="preserve">× </t>
    <phoneticPr fontId="2" type="noConversion"/>
  </si>
  <si>
    <t>ㅇ청소년글로벌캠프</t>
    <phoneticPr fontId="2" type="noConversion"/>
  </si>
  <si>
    <t>­ 부가세환급</t>
    <phoneticPr fontId="2" type="noConversion"/>
  </si>
  <si>
    <t>618 판매수익</t>
    <phoneticPr fontId="2" type="noConversion"/>
  </si>
  <si>
    <t>618-1 상품판매수익</t>
    <phoneticPr fontId="2" type="noConversion"/>
  </si>
  <si>
    <t>­ 판매수입</t>
    <phoneticPr fontId="2" type="noConversion"/>
  </si>
  <si>
    <t>620 영업외수익</t>
    <phoneticPr fontId="2" type="noConversion"/>
  </si>
  <si>
    <t>621-1 예금이자수익</t>
    <phoneticPr fontId="2" type="noConversion"/>
  </si>
  <si>
    <t>ㅇ외부공모사업금</t>
    <phoneticPr fontId="7" type="noConversion"/>
  </si>
  <si>
    <t>­ 동아리지원</t>
    <phoneticPr fontId="7" type="noConversion"/>
  </si>
  <si>
    <t>­ 국가교류</t>
    <phoneticPr fontId="7" type="noConversion"/>
  </si>
  <si>
    <t>623-1 경기도교육청</t>
    <phoneticPr fontId="2" type="noConversion"/>
  </si>
  <si>
    <t>ㅇ공모사업금</t>
    <phoneticPr fontId="7" type="noConversion"/>
  </si>
  <si>
    <t>­ 청소년활동</t>
    <phoneticPr fontId="7" type="noConversion"/>
  </si>
  <si>
    <t>625 출자출연금수익</t>
    <phoneticPr fontId="2" type="noConversion"/>
  </si>
  <si>
    <t>625-2 지자체출자출연금</t>
    <phoneticPr fontId="2" type="noConversion"/>
  </si>
  <si>
    <t>ㅇ고양시지원금</t>
    <phoneticPr fontId="2" type="noConversion"/>
  </si>
  <si>
    <t>­ 마두지원금</t>
    <phoneticPr fontId="2" type="noConversion"/>
  </si>
  <si>
    <t>170 자본잉여금수입</t>
    <phoneticPr fontId="2" type="noConversion"/>
  </si>
  <si>
    <t>172 이월금</t>
    <phoneticPr fontId="2" type="noConversion"/>
  </si>
  <si>
    <t>172-3 전년도이월사업비</t>
    <phoneticPr fontId="2" type="noConversion"/>
  </si>
  <si>
    <t>­  2017년도사업비이월금</t>
    <phoneticPr fontId="2" type="noConversion"/>
  </si>
  <si>
    <t>2018년 세출예산서(안)</t>
    <phoneticPr fontId="2" type="noConversion"/>
  </si>
  <si>
    <t>[일반회계]</t>
    <phoneticPr fontId="2" type="noConversion"/>
  </si>
  <si>
    <t>(단위:천원)</t>
    <phoneticPr fontId="2" type="noConversion"/>
  </si>
  <si>
    <t>마두청소년수련관</t>
    <phoneticPr fontId="2" type="noConversion"/>
  </si>
  <si>
    <t>700 사업비용</t>
    <phoneticPr fontId="2" type="noConversion"/>
  </si>
  <si>
    <t>710 영업비용</t>
    <phoneticPr fontId="2" type="noConversion"/>
  </si>
  <si>
    <t>100 인건비</t>
    <phoneticPr fontId="2" type="noConversion"/>
  </si>
  <si>
    <t>101 급여</t>
    <phoneticPr fontId="2" type="noConversion"/>
  </si>
  <si>
    <t>ㅇ기본급</t>
    <phoneticPr fontId="2" type="noConversion"/>
  </si>
  <si>
    <t xml:space="preserve">× </t>
    <phoneticPr fontId="2" type="noConversion"/>
  </si>
  <si>
    <t>- 팀장(6급)</t>
    <phoneticPr fontId="2" type="noConversion"/>
  </si>
  <si>
    <t>=</t>
    <phoneticPr fontId="2" type="noConversion"/>
  </si>
  <si>
    <t>- 사원(7급)</t>
    <phoneticPr fontId="2" type="noConversion"/>
  </si>
  <si>
    <t>102 제수당</t>
    <phoneticPr fontId="2" type="noConversion"/>
  </si>
  <si>
    <t>- 관장(4급)</t>
    <phoneticPr fontId="2" type="noConversion"/>
  </si>
  <si>
    <t>ㅇ가족수당</t>
    <phoneticPr fontId="2" type="noConversion"/>
  </si>
  <si>
    <t>- 배우자</t>
    <phoneticPr fontId="2" type="noConversion"/>
  </si>
  <si>
    <t>- 부양가족</t>
    <phoneticPr fontId="2" type="noConversion"/>
  </si>
  <si>
    <t>- 부양가족 가산(둘째자녀)</t>
    <phoneticPr fontId="2" type="noConversion"/>
  </si>
  <si>
    <t>ㅇ시간외/당직근무수당</t>
    <phoneticPr fontId="2" type="noConversion"/>
  </si>
  <si>
    <t xml:space="preserve"> - 시간외및당직근무수당</t>
    <phoneticPr fontId="2" type="noConversion"/>
  </si>
  <si>
    <t>ㅇ정근수당</t>
    <phoneticPr fontId="2" type="noConversion"/>
  </si>
  <si>
    <t>- 관장(4급)</t>
    <phoneticPr fontId="2" type="noConversion"/>
  </si>
  <si>
    <t>- 15년 이상</t>
    <phoneticPr fontId="2" type="noConversion"/>
  </si>
  <si>
    <t>- 관장(4급)</t>
    <phoneticPr fontId="2" type="noConversion"/>
  </si>
  <si>
    <t>ㅇ연가보상비</t>
    <phoneticPr fontId="2" type="noConversion"/>
  </si>
  <si>
    <t>ㅇ퇴직급여충당금</t>
    <phoneticPr fontId="2" type="noConversion"/>
  </si>
  <si>
    <t>200 경비</t>
    <phoneticPr fontId="2" type="noConversion"/>
  </si>
  <si>
    <t>201 복리후생비</t>
    <phoneticPr fontId="2" type="noConversion"/>
  </si>
  <si>
    <t>ㅇ사회4대보험</t>
    <phoneticPr fontId="2" type="noConversion"/>
  </si>
  <si>
    <t>­ 장기요양보험부담금</t>
    <phoneticPr fontId="2" type="noConversion"/>
  </si>
  <si>
    <t>­ 산재보험부담금</t>
    <phoneticPr fontId="2" type="noConversion"/>
  </si>
  <si>
    <t>ㅇ발송비</t>
    <phoneticPr fontId="2" type="noConversion"/>
  </si>
  <si>
    <t>­ 우편물,택배 발송비</t>
    <phoneticPr fontId="2" type="noConversion"/>
  </si>
  <si>
    <t>ㅇ통신비</t>
    <phoneticPr fontId="2" type="noConversion"/>
  </si>
  <si>
    <t>­ 전화 인터넷 사용료</t>
    <phoneticPr fontId="2" type="noConversion"/>
  </si>
  <si>
    <t>­ 전기안전협회비</t>
    <phoneticPr fontId="2" type="noConversion"/>
  </si>
  <si>
    <t>­ 교통유발부담금</t>
    <phoneticPr fontId="2" type="noConversion"/>
  </si>
  <si>
    <t>204 수도광열비</t>
    <phoneticPr fontId="2" type="noConversion"/>
  </si>
  <si>
    <t>ㅇ수도광열비</t>
    <phoneticPr fontId="2" type="noConversion"/>
  </si>
  <si>
    <t>­  전기요금</t>
    <phoneticPr fontId="2" type="noConversion"/>
  </si>
  <si>
    <t>­  지역난방료(냉난방)</t>
    <phoneticPr fontId="2" type="noConversion"/>
  </si>
  <si>
    <t>ㅇ사무용품비</t>
    <phoneticPr fontId="2" type="noConversion"/>
  </si>
  <si>
    <t>­ 사무용품비</t>
    <phoneticPr fontId="2" type="noConversion"/>
  </si>
  <si>
    <t>­ 복합기임차료</t>
    <phoneticPr fontId="2" type="noConversion"/>
  </si>
  <si>
    <t>­ 차량임차료</t>
    <phoneticPr fontId="2" type="noConversion"/>
  </si>
  <si>
    <t>­ 공기청정기임차료</t>
    <phoneticPr fontId="2" type="noConversion"/>
  </si>
  <si>
    <t>ㅇ수선유지비</t>
    <phoneticPr fontId="2" type="noConversion"/>
  </si>
  <si>
    <t>­ 물탱크유지관리비</t>
    <phoneticPr fontId="2" type="noConversion"/>
  </si>
  <si>
    <t>­ 자동제어유지관리비</t>
    <phoneticPr fontId="2" type="noConversion"/>
  </si>
  <si>
    <t>­ 기계냉난방기유지관리비</t>
    <phoneticPr fontId="2" type="noConversion"/>
  </si>
  <si>
    <t>­ 건축설비유지관리비</t>
    <phoneticPr fontId="2" type="noConversion"/>
  </si>
  <si>
    <t>­ 통신시설유지관리비</t>
    <phoneticPr fontId="2" type="noConversion"/>
  </si>
  <si>
    <t>­ 승강기위탁관리유지관리비</t>
    <phoneticPr fontId="2" type="noConversion"/>
  </si>
  <si>
    <t>­ 건물수선비(대청소)</t>
    <phoneticPr fontId="2" type="noConversion"/>
  </si>
  <si>
    <t>­ 전기설비유지관리비</t>
    <phoneticPr fontId="2" type="noConversion"/>
  </si>
  <si>
    <t>211 차량유지비</t>
    <phoneticPr fontId="2" type="noConversion"/>
  </si>
  <si>
    <t>212 보험료</t>
    <phoneticPr fontId="2" type="noConversion"/>
  </si>
  <si>
    <t>ㅇ보험료</t>
    <phoneticPr fontId="2" type="noConversion"/>
  </si>
  <si>
    <t>­ 각종세금</t>
    <phoneticPr fontId="2" type="noConversion"/>
  </si>
  <si>
    <t>­ 무인경비시스템유지관리비</t>
    <phoneticPr fontId="2" type="noConversion"/>
  </si>
  <si>
    <t>­ 각종수수료(퇴직연금운용등)</t>
    <phoneticPr fontId="2" type="noConversion"/>
  </si>
  <si>
    <t>217 재료비기타</t>
    <phoneticPr fontId="2" type="noConversion"/>
  </si>
  <si>
    <t>ㅇ재료비기타</t>
    <phoneticPr fontId="2" type="noConversion"/>
  </si>
  <si>
    <t>­ 시설공구구입</t>
    <phoneticPr fontId="2" type="noConversion"/>
  </si>
  <si>
    <t>­ 시설재료구입</t>
    <phoneticPr fontId="2" type="noConversion"/>
  </si>
  <si>
    <t>ㅇ전문위원회</t>
    <phoneticPr fontId="2" type="noConversion"/>
  </si>
  <si>
    <t>­ 회의비</t>
    <phoneticPr fontId="2" type="noConversion"/>
  </si>
  <si>
    <t>ㅇ자산취득비</t>
    <phoneticPr fontId="2" type="noConversion"/>
  </si>
  <si>
    <t>­ 프로그램실비품</t>
    <phoneticPr fontId="2" type="noConversion"/>
  </si>
  <si>
    <t>ㅇ동아리지원사업비</t>
    <phoneticPr fontId="7" type="noConversion"/>
  </si>
  <si>
    <t>­ 동아리지원사업</t>
    <phoneticPr fontId="2" type="noConversion"/>
  </si>
  <si>
    <t>ㅇ국가교류사업</t>
    <phoneticPr fontId="7" type="noConversion"/>
  </si>
  <si>
    <t>721-2 경기도교육청사업비</t>
    <phoneticPr fontId="2" type="noConversion"/>
  </si>
  <si>
    <t>ㅇ경기도교육청공모지원금</t>
    <phoneticPr fontId="7" type="noConversion"/>
  </si>
  <si>
    <t>­ 청소년활동공모사업비</t>
    <phoneticPr fontId="7" type="noConversion"/>
  </si>
  <si>
    <t>722 목적사업비</t>
    <phoneticPr fontId="2" type="noConversion"/>
  </si>
  <si>
    <t>722-1 청소년참여</t>
    <phoneticPr fontId="2" type="noConversion"/>
  </si>
  <si>
    <t>ㅇ청소년운영위원회</t>
    <phoneticPr fontId="2" type="noConversion"/>
  </si>
  <si>
    <t xml:space="preserve">   - 동아리활동비</t>
    <phoneticPr fontId="2" type="noConversion"/>
  </si>
  <si>
    <t>ㅇ청소년참여사업운영</t>
    <phoneticPr fontId="2" type="noConversion"/>
  </si>
  <si>
    <t>ㅇ고양형평화통일사업</t>
    <phoneticPr fontId="2" type="noConversion"/>
  </si>
  <si>
    <t xml:space="preserve">   - 평화통일학교</t>
    <phoneticPr fontId="2" type="noConversion"/>
  </si>
  <si>
    <t xml:space="preserve">   - 평화통일 인문학교실</t>
    <phoneticPr fontId="2" type="noConversion"/>
  </si>
  <si>
    <t>ㅇ자원봉사활동</t>
    <phoneticPr fontId="2" type="noConversion"/>
  </si>
  <si>
    <t>ㅇ청소년문화지원사업</t>
    <phoneticPr fontId="2" type="noConversion"/>
  </si>
  <si>
    <t xml:space="preserve">   - 문화캠프지원</t>
    <phoneticPr fontId="2" type="noConversion"/>
  </si>
  <si>
    <t xml:space="preserve">   - 참여활동지원</t>
    <phoneticPr fontId="2" type="noConversion"/>
  </si>
  <si>
    <t>ㅇ청소년문화ZONE</t>
    <phoneticPr fontId="2" type="noConversion"/>
  </si>
  <si>
    <t xml:space="preserve">   - 문화ZONE운영</t>
    <phoneticPr fontId="2" type="noConversion"/>
  </si>
  <si>
    <t xml:space="preserve">   - 자유학기제</t>
    <phoneticPr fontId="2" type="noConversion"/>
  </si>
  <si>
    <t>ㅇ청소년정책사업</t>
    <phoneticPr fontId="2" type="noConversion"/>
  </si>
  <si>
    <t xml:space="preserve">   - 청소년의달</t>
    <phoneticPr fontId="2" type="noConversion"/>
  </si>
  <si>
    <t>722-3 국제화사업</t>
    <phoneticPr fontId="2" type="noConversion"/>
  </si>
  <si>
    <t>ㅇ온라인청소년교류사업</t>
    <phoneticPr fontId="2" type="noConversion"/>
  </si>
  <si>
    <t xml:space="preserve">   - 온라인국제교류사업운영</t>
    <phoneticPr fontId="2" type="noConversion"/>
  </si>
  <si>
    <t>ㅇ국가간 청소년교류활동</t>
    <phoneticPr fontId="2" type="noConversion"/>
  </si>
  <si>
    <t xml:space="preserve">   - 항공료</t>
    <phoneticPr fontId="2" type="noConversion"/>
  </si>
  <si>
    <t>730 자체사업비</t>
    <phoneticPr fontId="2" type="noConversion"/>
  </si>
  <si>
    <t>731 직영사업비</t>
    <phoneticPr fontId="2" type="noConversion"/>
  </si>
  <si>
    <t>104 무기계약근로자보수</t>
    <phoneticPr fontId="2" type="noConversion"/>
  </si>
  <si>
    <t>ㅇ무기계약근로자 보수</t>
    <phoneticPr fontId="2" type="noConversion"/>
  </si>
  <si>
    <t>­ 무기계약근로자 보수(미화)</t>
    <phoneticPr fontId="2" type="noConversion"/>
  </si>
  <si>
    <t>ㅇ단시간제인건비</t>
    <phoneticPr fontId="2" type="noConversion"/>
  </si>
  <si>
    <t>­ 휘트니스강사</t>
    <phoneticPr fontId="2" type="noConversion"/>
  </si>
  <si>
    <t>­ 북카페</t>
    <phoneticPr fontId="2" type="noConversion"/>
  </si>
  <si>
    <t>­ 보안</t>
    <phoneticPr fontId="2" type="noConversion"/>
  </si>
  <si>
    <t>­ 안내</t>
    <phoneticPr fontId="2" type="noConversion"/>
  </si>
  <si>
    <t>­ 연가보상비</t>
    <phoneticPr fontId="2" type="noConversion"/>
  </si>
  <si>
    <t>1/12월</t>
    <phoneticPr fontId="2" type="noConversion"/>
  </si>
  <si>
    <t>ㅇ사회4대보험</t>
    <phoneticPr fontId="2" type="noConversion"/>
  </si>
  <si>
    <t>­ 국민건강보험부담금</t>
    <phoneticPr fontId="2" type="noConversion"/>
  </si>
  <si>
    <t>­ 직원종합건강검진</t>
    <phoneticPr fontId="2" type="noConversion"/>
  </si>
  <si>
    <t>­ 선택적복지제도</t>
    <phoneticPr fontId="2" type="noConversion"/>
  </si>
  <si>
    <t>202 여비</t>
    <phoneticPr fontId="2" type="noConversion"/>
  </si>
  <si>
    <t>ㅇ여비</t>
    <phoneticPr fontId="2" type="noConversion"/>
  </si>
  <si>
    <t>­ 국내여비</t>
    <phoneticPr fontId="2" type="noConversion"/>
  </si>
  <si>
    <t>­ 국외업무여비</t>
    <phoneticPr fontId="2" type="noConversion"/>
  </si>
  <si>
    <t>ㅇ제세공과금</t>
    <phoneticPr fontId="2" type="noConversion"/>
  </si>
  <si>
    <t>­ 부가가치세</t>
    <phoneticPr fontId="2" type="noConversion"/>
  </si>
  <si>
    <t>206 소모품비</t>
    <phoneticPr fontId="2" type="noConversion"/>
  </si>
  <si>
    <t>­ 공용사무용품비</t>
    <phoneticPr fontId="2" type="noConversion"/>
  </si>
  <si>
    <t>­ 비상약품</t>
    <phoneticPr fontId="2" type="noConversion"/>
  </si>
  <si>
    <t>ㅇ피복비</t>
    <phoneticPr fontId="2" type="noConversion"/>
  </si>
  <si>
    <t>­ 직원피복비</t>
    <phoneticPr fontId="2" type="noConversion"/>
  </si>
  <si>
    <t>ㅇ도서인쇄비</t>
    <phoneticPr fontId="2" type="noConversion"/>
  </si>
  <si>
    <t>­ 자료인쇄비</t>
    <phoneticPr fontId="2" type="noConversion"/>
  </si>
  <si>
    <t>­ 청소년시설사업보고서제작</t>
    <phoneticPr fontId="2" type="noConversion"/>
  </si>
  <si>
    <t>213 지급수수료</t>
    <phoneticPr fontId="2" type="noConversion"/>
  </si>
  <si>
    <t>ㅇ 업무추진비</t>
    <phoneticPr fontId="2" type="noConversion"/>
  </si>
  <si>
    <t>­ 기관운영업무추진비</t>
    <phoneticPr fontId="2" type="noConversion"/>
  </si>
  <si>
    <t>­ 시책추진업무추진비</t>
    <phoneticPr fontId="2" type="noConversion"/>
  </si>
  <si>
    <t>215 관서업무비</t>
    <phoneticPr fontId="2" type="noConversion"/>
  </si>
  <si>
    <t>ㅇ 관서업무비</t>
    <phoneticPr fontId="2" type="noConversion"/>
  </si>
  <si>
    <t>­ 부서운영업무추진비</t>
    <phoneticPr fontId="2" type="noConversion"/>
  </si>
  <si>
    <t xml:space="preserve">  · 사업1팀</t>
    <phoneticPr fontId="2" type="noConversion"/>
  </si>
  <si>
    <t xml:space="preserve">  · 사업2팀</t>
    <phoneticPr fontId="2" type="noConversion"/>
  </si>
  <si>
    <t>­ 정원가산업무추진비</t>
    <phoneticPr fontId="2" type="noConversion"/>
  </si>
  <si>
    <t>216 교육훈련비</t>
    <phoneticPr fontId="2" type="noConversion"/>
  </si>
  <si>
    <t>ㅇ교육훈련비</t>
    <phoneticPr fontId="2" type="noConversion"/>
  </si>
  <si>
    <t>­ 시설직원교육지원비</t>
    <phoneticPr fontId="2" type="noConversion"/>
  </si>
  <si>
    <t>ㅇ워크숍</t>
    <phoneticPr fontId="2" type="noConversion"/>
  </si>
  <si>
    <t>­ 시설워크숍</t>
    <phoneticPr fontId="2" type="noConversion"/>
  </si>
  <si>
    <t>- 캐비넷구입</t>
    <phoneticPr fontId="2" type="noConversion"/>
  </si>
  <si>
    <t>- 선풍기 외</t>
    <phoneticPr fontId="2" type="noConversion"/>
  </si>
  <si>
    <t>731-1 청소년교육사업</t>
    <phoneticPr fontId="2" type="noConversion"/>
  </si>
  <si>
    <t>ㅇ청소년교육사업</t>
    <phoneticPr fontId="2" type="noConversion"/>
  </si>
  <si>
    <t xml:space="preserve">   - 강사료</t>
    <phoneticPr fontId="2" type="noConversion"/>
  </si>
  <si>
    <t xml:space="preserve">   - 한마음축제운영비</t>
    <phoneticPr fontId="2" type="noConversion"/>
  </si>
  <si>
    <t xml:space="preserve">   - SMS서비스유지관리비</t>
    <phoneticPr fontId="2" type="noConversion"/>
  </si>
  <si>
    <t xml:space="preserve">   - 카드수수료</t>
    <phoneticPr fontId="2" type="noConversion"/>
  </si>
  <si>
    <t xml:space="preserve">   - 프로그램유지관리비</t>
    <phoneticPr fontId="2" type="noConversion"/>
  </si>
  <si>
    <t>731-2 청소년북카페운영</t>
    <phoneticPr fontId="2" type="noConversion"/>
  </si>
  <si>
    <t xml:space="preserve">   - 재료구입비</t>
    <phoneticPr fontId="2" type="noConversion"/>
  </si>
  <si>
    <t xml:space="preserve">   - 기타운영비</t>
    <phoneticPr fontId="2" type="noConversion"/>
  </si>
  <si>
    <t xml:space="preserve">   - 열린공간(교육문화예술)</t>
    <phoneticPr fontId="2" type="noConversion"/>
  </si>
  <si>
    <t>ㅇ청소년국제교류캠프</t>
    <phoneticPr fontId="2" type="noConversion"/>
  </si>
  <si>
    <t>- 항공료 및 체류비</t>
    <phoneticPr fontId="2" type="noConversion"/>
  </si>
  <si>
    <t>- 홍보비</t>
    <phoneticPr fontId="2" type="noConversion"/>
  </si>
  <si>
    <t>- 기타운영비(물품구입,입찰심사,현지활동비등)</t>
    <phoneticPr fontId="2" type="noConversion"/>
  </si>
  <si>
    <t>- 운영비</t>
    <phoneticPr fontId="2" type="noConversion"/>
  </si>
  <si>
    <t>- 홈페이지운영</t>
    <phoneticPr fontId="2" type="noConversion"/>
  </si>
  <si>
    <t>- 홍보물제작운영</t>
    <phoneticPr fontId="2" type="noConversion"/>
  </si>
  <si>
    <t>- 출판물제작운영비</t>
    <phoneticPr fontId="2" type="noConversion"/>
  </si>
  <si>
    <t>2018년 세입예산서(안)</t>
    <phoneticPr fontId="2" type="noConversion"/>
  </si>
  <si>
    <t>[일반회계]</t>
    <phoneticPr fontId="2" type="noConversion"/>
  </si>
  <si>
    <t>(단위:천원)</t>
    <phoneticPr fontId="2" type="noConversion"/>
  </si>
  <si>
    <t>세세목</t>
    <phoneticPr fontId="2" type="noConversion"/>
  </si>
  <si>
    <t>고양시청소년진로센터</t>
    <phoneticPr fontId="2" type="noConversion"/>
  </si>
  <si>
    <t>600 사업수익</t>
    <phoneticPr fontId="2" type="noConversion"/>
  </si>
  <si>
    <t>625-2 지자체출자출연금</t>
    <phoneticPr fontId="2" type="noConversion"/>
  </si>
  <si>
    <t>­ 진로지원금</t>
  </si>
  <si>
    <t>2018년 세출예산서(안)</t>
    <phoneticPr fontId="2" type="noConversion"/>
  </si>
  <si>
    <t>700 사업비용</t>
    <phoneticPr fontId="2" type="noConversion"/>
  </si>
  <si>
    <t>100 인건비</t>
    <phoneticPr fontId="2" type="noConversion"/>
  </si>
  <si>
    <t>101 급여</t>
    <phoneticPr fontId="2" type="noConversion"/>
  </si>
  <si>
    <t xml:space="preserve">× </t>
    <phoneticPr fontId="2" type="noConversion"/>
  </si>
  <si>
    <t xml:space="preserve"> </t>
    <phoneticPr fontId="2" type="noConversion"/>
  </si>
  <si>
    <t>ㅇ자격수당</t>
    <phoneticPr fontId="2" type="noConversion"/>
  </si>
  <si>
    <t>ㅇ기간제근로자 보수</t>
    <phoneticPr fontId="2" type="noConversion"/>
  </si>
  <si>
    <t>­ 기간제근로자 보수</t>
    <phoneticPr fontId="2" type="noConversion"/>
  </si>
  <si>
    <t>­ 국민건강보험부담금</t>
    <phoneticPr fontId="2" type="noConversion"/>
  </si>
  <si>
    <t>ㅇ직원복지제도</t>
    <phoneticPr fontId="2" type="noConversion"/>
  </si>
  <si>
    <t>­ 직원건강검진</t>
    <phoneticPr fontId="2" type="noConversion"/>
  </si>
  <si>
    <t>ㅇ통신비</t>
    <phoneticPr fontId="2" type="noConversion"/>
  </si>
  <si>
    <t>­ 전화 인터넷 사용료</t>
    <phoneticPr fontId="2" type="noConversion"/>
  </si>
  <si>
    <t>206 소모품비</t>
    <phoneticPr fontId="2" type="noConversion"/>
  </si>
  <si>
    <t>ㅇ사무용품비</t>
    <phoneticPr fontId="2" type="noConversion"/>
  </si>
  <si>
    <t>­ 사무용품비</t>
    <phoneticPr fontId="2" type="noConversion"/>
  </si>
  <si>
    <t>207 피복비</t>
    <phoneticPr fontId="2" type="noConversion"/>
  </si>
  <si>
    <t>ㅇ피복비</t>
    <phoneticPr fontId="2" type="noConversion"/>
  </si>
  <si>
    <t>­ 직원피복비</t>
    <phoneticPr fontId="2" type="noConversion"/>
  </si>
  <si>
    <t>208 도서인쇄비</t>
    <phoneticPr fontId="2" type="noConversion"/>
  </si>
  <si>
    <t>ㅇ도서인쇄비</t>
    <phoneticPr fontId="2" type="noConversion"/>
  </si>
  <si>
    <t>­ 정기간행물 및 업무용도서구입비</t>
    <phoneticPr fontId="2" type="noConversion"/>
  </si>
  <si>
    <t>209 지급임차료</t>
    <phoneticPr fontId="2" type="noConversion"/>
  </si>
  <si>
    <t>ㅇ지급임차료</t>
    <phoneticPr fontId="2" type="noConversion"/>
  </si>
  <si>
    <t>212 보험료</t>
    <phoneticPr fontId="2" type="noConversion"/>
  </si>
  <si>
    <t>ㅇ보험료</t>
    <phoneticPr fontId="2" type="noConversion"/>
  </si>
  <si>
    <t>213 지급수수료</t>
    <phoneticPr fontId="2" type="noConversion"/>
  </si>
  <si>
    <t>­ 무인경비시스템유지관리비</t>
    <phoneticPr fontId="2" type="noConversion"/>
  </si>
  <si>
    <t>ㅇ 업무추진비</t>
    <phoneticPr fontId="2" type="noConversion"/>
  </si>
  <si>
    <t>215 관서업무비</t>
    <phoneticPr fontId="2" type="noConversion"/>
  </si>
  <si>
    <t>­ 부서운영업무추진비</t>
    <phoneticPr fontId="2" type="noConversion"/>
  </si>
  <si>
    <t>ㅇ위탁교육비</t>
    <phoneticPr fontId="2" type="noConversion"/>
  </si>
  <si>
    <t>­ 직원교육지원비</t>
    <phoneticPr fontId="2" type="noConversion"/>
  </si>
  <si>
    <t>218 행사홍보비</t>
    <phoneticPr fontId="2" type="noConversion"/>
  </si>
  <si>
    <t>ㅇ홍보물 제작</t>
    <phoneticPr fontId="2" type="noConversion"/>
  </si>
  <si>
    <t xml:space="preserve">­ 현수막, 포스터 </t>
    <phoneticPr fontId="2" type="noConversion"/>
  </si>
  <si>
    <t>­ 노트북구입</t>
    <phoneticPr fontId="2" type="noConversion"/>
  </si>
  <si>
    <t>720 청소년사업비</t>
    <phoneticPr fontId="2" type="noConversion"/>
  </si>
  <si>
    <t>지역사회 협력</t>
    <phoneticPr fontId="7" type="noConversion"/>
  </si>
  <si>
    <t>진로교육지원</t>
    <phoneticPr fontId="2" type="noConversion"/>
  </si>
  <si>
    <t>ㅇ진로콘서트</t>
    <phoneticPr fontId="2" type="noConversion"/>
  </si>
  <si>
    <t>청소년권리증진</t>
    <phoneticPr fontId="2" type="noConversion"/>
  </si>
  <si>
    <t>ㅇ진로진학상담</t>
    <phoneticPr fontId="2" type="noConversion"/>
  </si>
  <si>
    <t>800 예비비</t>
    <phoneticPr fontId="2" type="noConversion"/>
  </si>
  <si>
    <t>2018년 세입예산서(안)</t>
    <phoneticPr fontId="2" type="noConversion"/>
  </si>
  <si>
    <t>성사청소년문화의집</t>
    <phoneticPr fontId="2" type="noConversion"/>
  </si>
  <si>
    <t>600 사업수익</t>
    <phoneticPr fontId="2" type="noConversion"/>
  </si>
  <si>
    <t>610 영업수익</t>
    <phoneticPr fontId="2" type="noConversion"/>
  </si>
  <si>
    <t>611 자체사업수익</t>
    <phoneticPr fontId="2" type="noConversion"/>
  </si>
  <si>
    <t>611-2 참가금수익</t>
    <phoneticPr fontId="2" type="noConversion"/>
  </si>
  <si>
    <t>ㅇ교육프로그램</t>
    <phoneticPr fontId="2" type="noConversion"/>
  </si>
  <si>
    <t>710 영업비용</t>
    <phoneticPr fontId="2" type="noConversion"/>
  </si>
  <si>
    <t>- 사원(배치)</t>
    <phoneticPr fontId="2" type="noConversion"/>
  </si>
  <si>
    <t>ㅇ가족수당</t>
    <phoneticPr fontId="2" type="noConversion"/>
  </si>
  <si>
    <t xml:space="preserve">   · 배우자</t>
    <phoneticPr fontId="2" type="noConversion"/>
  </si>
  <si>
    <t xml:space="preserve">   · 부양가족</t>
    <phoneticPr fontId="2" type="noConversion"/>
  </si>
  <si>
    <t>=</t>
    <phoneticPr fontId="2" type="noConversion"/>
  </si>
  <si>
    <t xml:space="preserve">× </t>
    <phoneticPr fontId="2" type="noConversion"/>
  </si>
  <si>
    <t>ㅇ자격수당</t>
    <phoneticPr fontId="2" type="noConversion"/>
  </si>
  <si>
    <t>- 청소년지도사</t>
    <phoneticPr fontId="2" type="noConversion"/>
  </si>
  <si>
    <t>- 연가보상비</t>
    <phoneticPr fontId="2" type="noConversion"/>
  </si>
  <si>
    <t>ㅇ퇴직급여충당금</t>
    <phoneticPr fontId="2" type="noConversion"/>
  </si>
  <si>
    <t>ㅇ사회4대보험</t>
    <phoneticPr fontId="2" type="noConversion"/>
  </si>
  <si>
    <t>­ 국민연금부담금</t>
    <phoneticPr fontId="2" type="noConversion"/>
  </si>
  <si>
    <t>­ 고용보험부담금</t>
    <phoneticPr fontId="2" type="noConversion"/>
  </si>
  <si>
    <t>­ 특근매식비</t>
    <phoneticPr fontId="2" type="noConversion"/>
  </si>
  <si>
    <t>202 여비</t>
    <phoneticPr fontId="2" type="noConversion"/>
  </si>
  <si>
    <t>ㅇ여비</t>
    <phoneticPr fontId="2" type="noConversion"/>
  </si>
  <si>
    <t>­ 국내여비</t>
    <phoneticPr fontId="2" type="noConversion"/>
  </si>
  <si>
    <t>­ 국외여비</t>
    <phoneticPr fontId="2" type="noConversion"/>
  </si>
  <si>
    <t>ㅇ통신비</t>
    <phoneticPr fontId="2" type="noConversion"/>
  </si>
  <si>
    <t>­ 우편물 및 SMS 발송</t>
    <phoneticPr fontId="2" type="noConversion"/>
  </si>
  <si>
    <t>­ 전화요금</t>
    <phoneticPr fontId="2" type="noConversion"/>
  </si>
  <si>
    <t>­ 인터넷요금</t>
    <phoneticPr fontId="2" type="noConversion"/>
  </si>
  <si>
    <t>­ UTM보안</t>
    <phoneticPr fontId="2" type="noConversion"/>
  </si>
  <si>
    <t>­  수도, 전기 등 관리비</t>
    <phoneticPr fontId="2" type="noConversion"/>
  </si>
  <si>
    <t>206 소모품비</t>
    <phoneticPr fontId="2" type="noConversion"/>
  </si>
  <si>
    <t>ㅇ전산소모품비</t>
    <phoneticPr fontId="2" type="noConversion"/>
  </si>
  <si>
    <t>­ 사무용 소프트웨어 구입</t>
    <phoneticPr fontId="2" type="noConversion"/>
  </si>
  <si>
    <t>=</t>
    <phoneticPr fontId="2" type="noConversion"/>
  </si>
  <si>
    <t>ㅇ소모품비</t>
    <phoneticPr fontId="2" type="noConversion"/>
  </si>
  <si>
    <t>­ 시설운영물품(청소용품,약품 등)</t>
    <phoneticPr fontId="2" type="noConversion"/>
  </si>
  <si>
    <t>207 피복비</t>
    <phoneticPr fontId="2" type="noConversion"/>
  </si>
  <si>
    <t>ㅇ피복비</t>
    <phoneticPr fontId="2" type="noConversion"/>
  </si>
  <si>
    <t>­ 직원피복비</t>
    <phoneticPr fontId="2" type="noConversion"/>
  </si>
  <si>
    <t>ㅇ인쇄비, 도서구입비</t>
    <phoneticPr fontId="2" type="noConversion"/>
  </si>
  <si>
    <t>­ 시설리플릿 제작</t>
    <phoneticPr fontId="2" type="noConversion"/>
  </si>
  <si>
    <t>­ 사업보고서 제작</t>
    <phoneticPr fontId="2" type="noConversion"/>
  </si>
  <si>
    <t>209 지급임차료</t>
    <phoneticPr fontId="2" type="noConversion"/>
  </si>
  <si>
    <t>ㅇ지급임차료</t>
    <phoneticPr fontId="2" type="noConversion"/>
  </si>
  <si>
    <t>­ 복합기임차료</t>
    <phoneticPr fontId="2" type="noConversion"/>
  </si>
  <si>
    <t>­  공기청정기임차료</t>
    <phoneticPr fontId="2" type="noConversion"/>
  </si>
  <si>
    <t>ㅇ수선유지비</t>
    <phoneticPr fontId="2" type="noConversion"/>
  </si>
  <si>
    <t>- 북카페 공간환경개선</t>
    <phoneticPr fontId="2" type="noConversion"/>
  </si>
  <si>
    <t>ㅇ보험료</t>
    <phoneticPr fontId="2" type="noConversion"/>
  </si>
  <si>
    <t>­ 이행보증보험료</t>
    <phoneticPr fontId="2" type="noConversion"/>
  </si>
  <si>
    <t>­ 직원상해보험료</t>
    <phoneticPr fontId="2" type="noConversion"/>
  </si>
  <si>
    <t>213 지급수수료</t>
    <phoneticPr fontId="2" type="noConversion"/>
  </si>
  <si>
    <t>ㅇ지급수수료</t>
    <phoneticPr fontId="2" type="noConversion"/>
  </si>
  <si>
    <t>­ 무인경비용역</t>
    <phoneticPr fontId="2" type="noConversion"/>
  </si>
  <si>
    <t>- 직원교육지원비</t>
    <phoneticPr fontId="2" type="noConversion"/>
  </si>
  <si>
    <t>ㅇ워크숍</t>
    <phoneticPr fontId="2" type="noConversion"/>
  </si>
  <si>
    <t>217 재료비기타</t>
    <phoneticPr fontId="2" type="noConversion"/>
  </si>
  <si>
    <t>­ 안전재료구입</t>
    <phoneticPr fontId="2" type="noConversion"/>
  </si>
  <si>
    <t>­ 강의용 노트북 구입</t>
    <phoneticPr fontId="2" type="noConversion"/>
  </si>
  <si>
    <t>­ 북카페 환경개선 기자재 구입</t>
    <phoneticPr fontId="2" type="noConversion"/>
  </si>
  <si>
    <t>720 청소년사업비</t>
    <phoneticPr fontId="2" type="noConversion"/>
  </si>
  <si>
    <t>722 목적사업비</t>
    <phoneticPr fontId="2" type="noConversion"/>
  </si>
  <si>
    <t>722-1 청소년문화</t>
    <phoneticPr fontId="2" type="noConversion"/>
  </si>
  <si>
    <t>­ 청소년동아리 네트워킹</t>
    <phoneticPr fontId="2" type="noConversion"/>
  </si>
  <si>
    <t>­ 청소년 특강</t>
    <phoneticPr fontId="2" type="noConversion"/>
  </si>
  <si>
    <t>­ 국제 청소년활동</t>
    <phoneticPr fontId="2" type="noConversion"/>
  </si>
  <si>
    <t>­ 청소년체력증진</t>
    <phoneticPr fontId="2" type="noConversion"/>
  </si>
  <si>
    <t>722-2 청소년참여</t>
    <phoneticPr fontId="2" type="noConversion"/>
  </si>
  <si>
    <t>ㅇ청소년참여</t>
    <phoneticPr fontId="2" type="noConversion"/>
  </si>
  <si>
    <t>­ 시설운영간담회</t>
    <phoneticPr fontId="2" type="noConversion"/>
  </si>
  <si>
    <t>- 청소년 멘토링</t>
    <phoneticPr fontId="2" type="noConversion"/>
  </si>
  <si>
    <t>ㅇ청소년안전</t>
    <phoneticPr fontId="2" type="noConversion"/>
  </si>
  <si>
    <t>­ 캠페인 활동</t>
    <phoneticPr fontId="2" type="noConversion"/>
  </si>
  <si>
    <t>731 직영사업비</t>
    <phoneticPr fontId="2" type="noConversion"/>
  </si>
  <si>
    <t>­ 직원종합건강검진</t>
    <phoneticPr fontId="2" type="noConversion"/>
  </si>
  <si>
    <t>214 업무추진비</t>
    <phoneticPr fontId="2" type="noConversion"/>
  </si>
  <si>
    <t>­ 기관운영업무추진비</t>
    <phoneticPr fontId="2" type="noConversion"/>
  </si>
  <si>
    <t>­ 정원가산업무추진비</t>
    <phoneticPr fontId="2" type="noConversion"/>
  </si>
  <si>
    <t xml:space="preserve">× </t>
    <phoneticPr fontId="2" type="noConversion"/>
  </si>
  <si>
    <t>=</t>
    <phoneticPr fontId="2" type="noConversion"/>
  </si>
  <si>
    <t>ㅇ 캠프 참가비</t>
    <phoneticPr fontId="2" type="noConversion"/>
  </si>
  <si>
    <t>620 영업외수익</t>
    <phoneticPr fontId="2" type="noConversion"/>
  </si>
  <si>
    <t>­ 예금이자</t>
    <phoneticPr fontId="2" type="noConversion"/>
  </si>
  <si>
    <t>2018년 세출예산서(안)</t>
    <phoneticPr fontId="2" type="noConversion"/>
  </si>
  <si>
    <t>[일반회계]</t>
    <phoneticPr fontId="2" type="noConversion"/>
  </si>
  <si>
    <t>(단위:천원)</t>
    <phoneticPr fontId="2" type="noConversion"/>
  </si>
  <si>
    <t>예산액</t>
    <phoneticPr fontId="2" type="noConversion"/>
  </si>
  <si>
    <t>전년도
예산액</t>
    <phoneticPr fontId="2" type="noConversion"/>
  </si>
  <si>
    <t>증감</t>
    <phoneticPr fontId="2" type="noConversion"/>
  </si>
  <si>
    <t>증감률</t>
    <phoneticPr fontId="2" type="noConversion"/>
  </si>
  <si>
    <t>700 사업비용</t>
    <phoneticPr fontId="2" type="noConversion"/>
  </si>
  <si>
    <t>710 영업비용</t>
    <phoneticPr fontId="2" type="noConversion"/>
  </si>
  <si>
    <t>101 급여</t>
    <phoneticPr fontId="2" type="noConversion"/>
  </si>
  <si>
    <t xml:space="preserve">× </t>
    <phoneticPr fontId="2" type="noConversion"/>
  </si>
  <si>
    <t>- 국제청소년활동</t>
  </si>
  <si>
    <t>­ 특근매식비</t>
  </si>
  <si>
    <t>­ 사업보고서 및 리플릿 제작</t>
    <phoneticPr fontId="2" type="noConversion"/>
  </si>
  <si>
    <t>- 시설유지보수관리비</t>
  </si>
  <si>
    <t>­ 각종수수료</t>
    <phoneticPr fontId="2" type="noConversion"/>
  </si>
  <si>
    <t>- 직원워크숍</t>
  </si>
  <si>
    <t>ㅇ자산취득비</t>
  </si>
  <si>
    <t>­ 자산취득비</t>
  </si>
  <si>
    <t>­ 북카페도서구입비</t>
  </si>
  <si>
    <t>- 강사비</t>
    <phoneticPr fontId="2" type="noConversion"/>
  </si>
  <si>
    <t>810 예비비</t>
    <phoneticPr fontId="2" type="noConversion"/>
  </si>
  <si>
    <t>[일반회계]</t>
    <phoneticPr fontId="2" type="noConversion"/>
  </si>
  <si>
    <t>주교동청소년카페</t>
    <phoneticPr fontId="2" type="noConversion"/>
  </si>
  <si>
    <t>600 사업수익</t>
    <phoneticPr fontId="2" type="noConversion"/>
  </si>
  <si>
    <t>610 영업수익</t>
    <phoneticPr fontId="2" type="noConversion"/>
  </si>
  <si>
    <t>611 자체사업수익</t>
    <phoneticPr fontId="2" type="noConversion"/>
  </si>
  <si>
    <t>611-1 사업운영수익</t>
    <phoneticPr fontId="2" type="noConversion"/>
  </si>
  <si>
    <t>ㅇ교육프로그램 참가비</t>
    <phoneticPr fontId="2" type="noConversion"/>
  </si>
  <si>
    <t xml:space="preserve">× </t>
    <phoneticPr fontId="2" type="noConversion"/>
  </si>
  <si>
    <t>=</t>
    <phoneticPr fontId="2" type="noConversion"/>
  </si>
  <si>
    <t>620 영업외수익</t>
    <phoneticPr fontId="2" type="noConversion"/>
  </si>
  <si>
    <t>621 이자수익</t>
    <phoneticPr fontId="2" type="noConversion"/>
  </si>
  <si>
    <t>ㅇ예금이자수익</t>
    <phoneticPr fontId="2" type="noConversion"/>
  </si>
  <si>
    <t>­ 예금이자</t>
    <phoneticPr fontId="2" type="noConversion"/>
  </si>
  <si>
    <t>623 보조금수익</t>
    <phoneticPr fontId="2" type="noConversion"/>
  </si>
  <si>
    <t>623-1 기타보조금수익</t>
    <phoneticPr fontId="2" type="noConversion"/>
  </si>
  <si>
    <t>ㅇ공모지원금</t>
    <phoneticPr fontId="2" type="noConversion"/>
  </si>
  <si>
    <t>­공모지원금</t>
    <phoneticPr fontId="2" type="noConversion"/>
  </si>
  <si>
    <t>625 출자출연금수익</t>
    <phoneticPr fontId="2" type="noConversion"/>
  </si>
  <si>
    <t>625-2 지자체출자출연금</t>
    <phoneticPr fontId="2" type="noConversion"/>
  </si>
  <si>
    <t>ㅇ고양시지원금</t>
    <phoneticPr fontId="2" type="noConversion"/>
  </si>
  <si>
    <t>100 자본적수입</t>
    <phoneticPr fontId="2" type="noConversion"/>
  </si>
  <si>
    <t>172-03 전년도이월사업비</t>
    <phoneticPr fontId="2" type="noConversion"/>
  </si>
  <si>
    <t>×</t>
    <phoneticPr fontId="2" type="noConversion"/>
  </si>
  <si>
    <t>[일반회계]</t>
    <phoneticPr fontId="2" type="noConversion"/>
  </si>
  <si>
    <t>(단위:천원)</t>
    <phoneticPr fontId="2" type="noConversion"/>
  </si>
  <si>
    <t>주교동청소년카페</t>
    <phoneticPr fontId="2" type="noConversion"/>
  </si>
  <si>
    <t>700 사업비용</t>
    <phoneticPr fontId="2" type="noConversion"/>
  </si>
  <si>
    <t>710 영업비용</t>
    <phoneticPr fontId="2" type="noConversion"/>
  </si>
  <si>
    <t>100 인건비</t>
    <phoneticPr fontId="2" type="noConversion"/>
  </si>
  <si>
    <t>101 급여</t>
    <phoneticPr fontId="2" type="noConversion"/>
  </si>
  <si>
    <t>ㅇ기본급</t>
    <phoneticPr fontId="2" type="noConversion"/>
  </si>
  <si>
    <t>=</t>
    <phoneticPr fontId="2" type="noConversion"/>
  </si>
  <si>
    <t>102 제수당</t>
    <phoneticPr fontId="2" type="noConversion"/>
  </si>
  <si>
    <t>ㅇ직급보조비</t>
    <phoneticPr fontId="2" type="noConversion"/>
  </si>
  <si>
    <t>- 사원(7급)</t>
    <phoneticPr fontId="2" type="noConversion"/>
  </si>
  <si>
    <t xml:space="preserve">× </t>
    <phoneticPr fontId="2" type="noConversion"/>
  </si>
  <si>
    <t>ㅇ가족수당</t>
    <phoneticPr fontId="2" type="noConversion"/>
  </si>
  <si>
    <t xml:space="preserve">   · 부양가족</t>
    <phoneticPr fontId="2" type="noConversion"/>
  </si>
  <si>
    <t>ㅇ자격수당</t>
    <phoneticPr fontId="2" type="noConversion"/>
  </si>
  <si>
    <t>- 청소년지도사</t>
    <phoneticPr fontId="2" type="noConversion"/>
  </si>
  <si>
    <t xml:space="preserve"> - 시간외및당직근무수당</t>
    <phoneticPr fontId="2" type="noConversion"/>
  </si>
  <si>
    <t>ㅇ단시간 인건비</t>
    <phoneticPr fontId="2" type="noConversion"/>
  </si>
  <si>
    <t>­ 단시간직원 인건비</t>
    <phoneticPr fontId="2" type="noConversion"/>
  </si>
  <si>
    <t>ㅇ퇴직급여충당금</t>
    <phoneticPr fontId="2" type="noConversion"/>
  </si>
  <si>
    <t>­ 국민연금부담금</t>
    <phoneticPr fontId="2" type="noConversion"/>
  </si>
  <si>
    <t>­ 전화 인터넷 사용료</t>
    <phoneticPr fontId="2" type="noConversion"/>
  </si>
  <si>
    <t>ㅇ전기요금</t>
    <phoneticPr fontId="2" type="noConversion"/>
  </si>
  <si>
    <t>­ 전기요금</t>
    <phoneticPr fontId="2" type="noConversion"/>
  </si>
  <si>
    <t>ㅇ상하수도료</t>
    <phoneticPr fontId="2" type="noConversion"/>
  </si>
  <si>
    <t>­ 상하수도료</t>
    <phoneticPr fontId="2" type="noConversion"/>
  </si>
  <si>
    <t>ㅇ사무용품비</t>
    <phoneticPr fontId="2" type="noConversion"/>
  </si>
  <si>
    <t>­ 사무실운영비</t>
    <phoneticPr fontId="2" type="noConversion"/>
  </si>
  <si>
    <t>­ 복합기, 정수기 외</t>
    <phoneticPr fontId="2" type="noConversion"/>
  </si>
  <si>
    <t>210 수선유지비</t>
    <phoneticPr fontId="2" type="noConversion"/>
  </si>
  <si>
    <t>ㅇ시설유지보수</t>
    <phoneticPr fontId="2" type="noConversion"/>
  </si>
  <si>
    <t>­ 시설유지보수</t>
    <phoneticPr fontId="2" type="noConversion"/>
  </si>
  <si>
    <t>­ 시설종합보험</t>
    <phoneticPr fontId="2" type="noConversion"/>
  </si>
  <si>
    <t>­ 프로그램 지원자 상해보험</t>
    <phoneticPr fontId="2" type="noConversion"/>
  </si>
  <si>
    <t>ㅇ지급수수료</t>
    <phoneticPr fontId="2" type="noConversion"/>
  </si>
  <si>
    <t>­ 직원교육지원비</t>
    <phoneticPr fontId="2" type="noConversion"/>
  </si>
  <si>
    <t>721 보조금사업비</t>
    <phoneticPr fontId="2" type="noConversion"/>
  </si>
  <si>
    <t>721-1 기타보조금사업비</t>
    <phoneticPr fontId="2" type="noConversion"/>
  </si>
  <si>
    <t>ㅇ공모지원금사업비</t>
    <phoneticPr fontId="2" type="noConversion"/>
  </si>
  <si>
    <t>­ 사업운영</t>
    <phoneticPr fontId="2" type="noConversion"/>
  </si>
  <si>
    <t>ㅇ사업비</t>
    <phoneticPr fontId="2" type="noConversion"/>
  </si>
  <si>
    <t>­ 청소년카페 사업운영</t>
    <phoneticPr fontId="2" type="noConversion"/>
  </si>
  <si>
    <t>730 자체사업비</t>
    <phoneticPr fontId="2" type="noConversion"/>
  </si>
  <si>
    <t>ㅇ복리후생비</t>
    <phoneticPr fontId="2" type="noConversion"/>
  </si>
  <si>
    <t>­ 종합건강검진비</t>
    <phoneticPr fontId="2" type="noConversion"/>
  </si>
  <si>
    <t>­ 피복비</t>
    <phoneticPr fontId="2" type="noConversion"/>
  </si>
  <si>
    <t>618 판매수익</t>
    <phoneticPr fontId="2" type="noConversion"/>
  </si>
  <si>
    <t>618-1 상품판매수익</t>
    <phoneticPr fontId="2" type="noConversion"/>
  </si>
  <si>
    <t>­ 판매수입</t>
    <phoneticPr fontId="2" type="noConversion"/>
  </si>
  <si>
    <t>621-1 예금이자수익</t>
    <phoneticPr fontId="2" type="noConversion"/>
  </si>
  <si>
    <t>623-1 국도시비보조금</t>
    <phoneticPr fontId="2" type="noConversion"/>
  </si>
  <si>
    <t>­ 국가교류</t>
    <phoneticPr fontId="7" type="noConversion"/>
  </si>
  <si>
    <t>101 급여</t>
    <phoneticPr fontId="2" type="noConversion"/>
  </si>
  <si>
    <t xml:space="preserve">× </t>
    <phoneticPr fontId="2" type="noConversion"/>
  </si>
  <si>
    <t>206 소모품비</t>
    <phoneticPr fontId="2" type="noConversion"/>
  </si>
  <si>
    <t>­ 통신시설유지관리비</t>
    <phoneticPr fontId="2" type="noConversion"/>
  </si>
  <si>
    <t>220 회의운영비</t>
    <phoneticPr fontId="2" type="noConversion"/>
  </si>
  <si>
    <t>­ 국민건강보험부담금</t>
    <phoneticPr fontId="2" type="noConversion"/>
  </si>
  <si>
    <t>ㅇ급량비</t>
    <phoneticPr fontId="2" type="noConversion"/>
  </si>
  <si>
    <t>­ 국외업무여비</t>
    <phoneticPr fontId="2" type="noConversion"/>
  </si>
  <si>
    <t>ㅇ도서인쇄비</t>
    <phoneticPr fontId="2" type="noConversion"/>
  </si>
  <si>
    <t>- 열린공간운영비(청소년축제등)</t>
    <phoneticPr fontId="2" type="noConversion"/>
  </si>
  <si>
    <t>2018년 세입예산서(안)</t>
    <phoneticPr fontId="2" type="noConversion"/>
  </si>
  <si>
    <t>[일반회계]</t>
    <phoneticPr fontId="2" type="noConversion"/>
  </si>
  <si>
    <t>(단위:천원)</t>
    <phoneticPr fontId="2" type="noConversion"/>
  </si>
  <si>
    <t>예산과목</t>
    <phoneticPr fontId="2" type="noConversion"/>
  </si>
  <si>
    <t>산출내역</t>
    <phoneticPr fontId="2" type="noConversion"/>
  </si>
  <si>
    <t>예산액</t>
    <phoneticPr fontId="2" type="noConversion"/>
  </si>
  <si>
    <t>증감</t>
    <phoneticPr fontId="2" type="noConversion"/>
  </si>
  <si>
    <t>증감률</t>
    <phoneticPr fontId="2" type="noConversion"/>
  </si>
  <si>
    <t>장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</si>
  <si>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</si>
  <si>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</si>
  <si>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</si>
  <si>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세목</t>
    <phoneticPr fontId="2" type="noConversion"/>
  </si>
  <si>
    <t>세세목</t>
    <phoneticPr fontId="2" type="noConversion"/>
  </si>
  <si>
    <t>토당청소년수련관</t>
    <phoneticPr fontId="2" type="noConversion"/>
  </si>
  <si>
    <t>600 사업수익</t>
    <phoneticPr fontId="2" type="noConversion"/>
  </si>
  <si>
    <t>610 영업수익</t>
    <phoneticPr fontId="2" type="noConversion"/>
  </si>
  <si>
    <t>611 자체사업수익</t>
    <phoneticPr fontId="2" type="noConversion"/>
  </si>
  <si>
    <t>611-1 사업운영수익</t>
    <phoneticPr fontId="2" type="noConversion"/>
  </si>
  <si>
    <t>ㅇ교육문화프로그램</t>
    <phoneticPr fontId="2" type="noConversion"/>
  </si>
  <si>
    <t>­ 발레</t>
    <phoneticPr fontId="2" type="noConversion"/>
  </si>
  <si>
    <t>청소년</t>
    <phoneticPr fontId="2" type="noConversion"/>
  </si>
  <si>
    <t xml:space="preserve">× </t>
    <phoneticPr fontId="2" type="noConversion"/>
  </si>
  <si>
    <t>=</t>
    <phoneticPr fontId="2" type="noConversion"/>
  </si>
  <si>
    <t>­ 건강요가</t>
    <phoneticPr fontId="2" type="noConversion"/>
  </si>
  <si>
    <t>성인, 청소년</t>
    <phoneticPr fontId="2" type="noConversion"/>
  </si>
  <si>
    <t>­ 인라인안전교실</t>
    <phoneticPr fontId="2" type="noConversion"/>
  </si>
  <si>
    <t>­ 키성장 농구</t>
    <phoneticPr fontId="2" type="noConversion"/>
  </si>
  <si>
    <t>­ 방송댄스</t>
    <phoneticPr fontId="2" type="noConversion"/>
  </si>
  <si>
    <t>­ 신나는 음악줄넘기</t>
    <phoneticPr fontId="2" type="noConversion"/>
  </si>
  <si>
    <t>­ 스쿼시</t>
    <phoneticPr fontId="2" type="noConversion"/>
  </si>
  <si>
    <t>성인</t>
    <phoneticPr fontId="2" type="noConversion"/>
  </si>
  <si>
    <t xml:space="preserve">× </t>
    <phoneticPr fontId="2" type="noConversion"/>
  </si>
  <si>
    <t xml:space="preserve">   자유스쿼시</t>
    <phoneticPr fontId="2" type="noConversion"/>
  </si>
  <si>
    <t xml:space="preserve">   자유스쿼시(토)</t>
    <phoneticPr fontId="2" type="noConversion"/>
  </si>
  <si>
    <t xml:space="preserve">   자유스쿼시(일)</t>
    <phoneticPr fontId="2" type="noConversion"/>
  </si>
  <si>
    <t>­ 헬스</t>
    <phoneticPr fontId="2" type="noConversion"/>
  </si>
  <si>
    <t>성인(1개월)</t>
    <phoneticPr fontId="2" type="noConversion"/>
  </si>
  <si>
    <t>성인(3개월)</t>
    <phoneticPr fontId="2" type="noConversion"/>
  </si>
  <si>
    <t>청소년(1개월)</t>
    <phoneticPr fontId="2" type="noConversion"/>
  </si>
  <si>
    <t xml:space="preserve"> - 헬스(건강한 몸집중관리)</t>
    <phoneticPr fontId="2" type="noConversion"/>
  </si>
  <si>
    <t>성인</t>
    <phoneticPr fontId="2" type="noConversion"/>
  </si>
  <si>
    <t>청소년</t>
    <phoneticPr fontId="2" type="noConversion"/>
  </si>
  <si>
    <t xml:space="preserve"> - 헬스(키쑥 건강 프로그램)</t>
    <phoneticPr fontId="2" type="noConversion"/>
  </si>
  <si>
    <t xml:space="preserve"> - 헬스(배쑥 건강 프로그램)</t>
    <phoneticPr fontId="2" type="noConversion"/>
  </si>
  <si>
    <t>­ 태권도 및 호신술</t>
    <phoneticPr fontId="2" type="noConversion"/>
  </si>
  <si>
    <t>­ 피아노</t>
    <phoneticPr fontId="2" type="noConversion"/>
  </si>
  <si>
    <t>청소년( 주3회)</t>
    <phoneticPr fontId="2" type="noConversion"/>
  </si>
  <si>
    <t>청소년( 주2회)</t>
    <phoneticPr fontId="2" type="noConversion"/>
  </si>
  <si>
    <t>성인( 주3회)</t>
    <phoneticPr fontId="2" type="noConversion"/>
  </si>
  <si>
    <t>성인( 주2회)</t>
    <phoneticPr fontId="2" type="noConversion"/>
  </si>
  <si>
    <t>­ 보컬트레이닝</t>
    <phoneticPr fontId="2" type="noConversion"/>
  </si>
  <si>
    <t>­ 유화</t>
    <phoneticPr fontId="2" type="noConversion"/>
  </si>
  <si>
    <t>보강료</t>
    <phoneticPr fontId="2" type="noConversion"/>
  </si>
  <si>
    <t>­ 한국화</t>
    <phoneticPr fontId="2" type="noConversion"/>
  </si>
  <si>
    <t>­ 미술창작</t>
    <phoneticPr fontId="2" type="noConversion"/>
  </si>
  <si>
    <t>­ 자신감 UP 유아미술</t>
    <phoneticPr fontId="2" type="noConversion"/>
  </si>
  <si>
    <t>유아</t>
    <phoneticPr fontId="2" type="noConversion"/>
  </si>
  <si>
    <t>­ 데생</t>
    <phoneticPr fontId="2" type="noConversion"/>
  </si>
  <si>
    <t>­ 칼라클레이</t>
    <phoneticPr fontId="2" type="noConversion"/>
  </si>
  <si>
    <t>유아, 청소년</t>
    <phoneticPr fontId="2" type="noConversion"/>
  </si>
  <si>
    <t>­ 수채화</t>
    <phoneticPr fontId="2" type="noConversion"/>
  </si>
  <si>
    <t>­ 바리스타</t>
    <phoneticPr fontId="2" type="noConversion"/>
  </si>
  <si>
    <t xml:space="preserve">× </t>
    <phoneticPr fontId="2" type="noConversion"/>
  </si>
  <si>
    <t>자격증반</t>
    <phoneticPr fontId="2" type="noConversion"/>
  </si>
  <si>
    <t>­ 캘리크라피, 서예</t>
    <phoneticPr fontId="2" type="noConversion"/>
  </si>
  <si>
    <t>=</t>
    <phoneticPr fontId="2" type="noConversion"/>
  </si>
  <si>
    <t>­ 상상의 나래(종이접기)</t>
    <phoneticPr fontId="2" type="noConversion"/>
  </si>
  <si>
    <t>­ 풍물</t>
    <phoneticPr fontId="2" type="noConversion"/>
  </si>
  <si>
    <t>장애 청소년 가족</t>
    <phoneticPr fontId="2" type="noConversion"/>
  </si>
  <si>
    <t>­ 도예</t>
    <phoneticPr fontId="2" type="noConversion"/>
  </si>
  <si>
    <t>성인(물레반)</t>
    <phoneticPr fontId="2" type="noConversion"/>
  </si>
  <si>
    <t>­ 과학체험활동</t>
    <phoneticPr fontId="2" type="noConversion"/>
  </si>
  <si>
    <t>­ 영어</t>
    <phoneticPr fontId="2" type="noConversion"/>
  </si>
  <si>
    <t>611-1  참가금수익</t>
    <phoneticPr fontId="2" type="noConversion"/>
  </si>
  <si>
    <t>ㅇ대안교육 단기위탁</t>
    <phoneticPr fontId="2" type="noConversion"/>
  </si>
  <si>
    <t xml:space="preserve">× </t>
    <phoneticPr fontId="2" type="noConversion"/>
  </si>
  <si>
    <t xml:space="preserve">× </t>
    <phoneticPr fontId="2" type="noConversion"/>
  </si>
  <si>
    <t xml:space="preserve">× </t>
    <phoneticPr fontId="2" type="noConversion"/>
  </si>
  <si>
    <t>=</t>
    <phoneticPr fontId="2" type="noConversion"/>
  </si>
  <si>
    <t>ㅇ지역사회 문화축제</t>
    <phoneticPr fontId="2" type="noConversion"/>
  </si>
  <si>
    <t>ㅇ바우처연계 참가비</t>
    <phoneticPr fontId="2" type="noConversion"/>
  </si>
  <si>
    <t>ㅇ고양청소년야영학교</t>
    <phoneticPr fontId="2" type="noConversion"/>
  </si>
  <si>
    <t>ㅇ고양3수능생프로그램</t>
    <phoneticPr fontId="2" type="noConversion"/>
  </si>
  <si>
    <t>ㅇ고양누리길 프로그램</t>
    <phoneticPr fontId="2" type="noConversion"/>
  </si>
  <si>
    <t>ㅇ꿈터예술제</t>
    <phoneticPr fontId="2" type="noConversion"/>
  </si>
  <si>
    <t>ㅇ역사사랑 하이킹대회</t>
    <phoneticPr fontId="2" type="noConversion"/>
  </si>
  <si>
    <t>ㅇ청소년 안전문화교실</t>
    <phoneticPr fontId="2" type="noConversion"/>
  </si>
  <si>
    <t>ㅇ청소년안전특화사업</t>
    <phoneticPr fontId="2" type="noConversion"/>
  </si>
  <si>
    <t>ㅇ청소년인성교육사업</t>
    <phoneticPr fontId="2" type="noConversion"/>
  </si>
  <si>
    <t>ㅇ자유학기제 연계프로그램</t>
    <phoneticPr fontId="2" type="noConversion"/>
  </si>
  <si>
    <t>ㅇ청소년연합워크숍</t>
    <phoneticPr fontId="2" type="noConversion"/>
  </si>
  <si>
    <t>ㅇ실습참가비</t>
    <phoneticPr fontId="2" type="noConversion"/>
  </si>
  <si>
    <t>617 기타영업수익</t>
    <phoneticPr fontId="2" type="noConversion"/>
  </si>
  <si>
    <t>617-1 시설사용료수익</t>
    <phoneticPr fontId="2" type="noConversion"/>
  </si>
  <si>
    <t>­ 대관 및 시설이용료</t>
    <phoneticPr fontId="2" type="noConversion"/>
  </si>
  <si>
    <t>617-3 기타수수료수입</t>
    <phoneticPr fontId="2" type="noConversion"/>
  </si>
  <si>
    <t>ㅇ기타수입</t>
    <phoneticPr fontId="2" type="noConversion"/>
  </si>
  <si>
    <t>­ 현장실습비</t>
    <phoneticPr fontId="2" type="noConversion"/>
  </si>
  <si>
    <t>618 판매수익</t>
    <phoneticPr fontId="2" type="noConversion"/>
  </si>
  <si>
    <t>618-1 기타판매수익</t>
    <phoneticPr fontId="2" type="noConversion"/>
  </si>
  <si>
    <t>ㅇ토당행복식당</t>
    <phoneticPr fontId="2" type="noConversion"/>
  </si>
  <si>
    <t>­ 방과후청소년</t>
    <phoneticPr fontId="2" type="noConversion"/>
  </si>
  <si>
    <t>­ 수련관직원</t>
    <phoneticPr fontId="2" type="noConversion"/>
  </si>
  <si>
    <t>­ 직원외급식</t>
    <phoneticPr fontId="2" type="noConversion"/>
  </si>
  <si>
    <t>­ 자판기수입</t>
    <phoneticPr fontId="2" type="noConversion"/>
  </si>
  <si>
    <t>620 영업외수익</t>
    <phoneticPr fontId="2" type="noConversion"/>
  </si>
  <si>
    <t>621 이자수익</t>
    <phoneticPr fontId="2" type="noConversion"/>
  </si>
  <si>
    <t>621-1 예금이자수익</t>
    <phoneticPr fontId="2" type="noConversion"/>
  </si>
  <si>
    <t>­ 예금이자</t>
    <phoneticPr fontId="2" type="noConversion"/>
  </si>
  <si>
    <t>623-1 국도시비보조금</t>
    <phoneticPr fontId="2" type="noConversion"/>
  </si>
  <si>
    <t>623-2 경찰서보조금</t>
    <phoneticPr fontId="2" type="noConversion"/>
  </si>
  <si>
    <t>623-3 경기도교육청</t>
    <phoneticPr fontId="2" type="noConversion"/>
  </si>
  <si>
    <t>625 출자출연금수입</t>
    <phoneticPr fontId="2" type="noConversion"/>
  </si>
  <si>
    <t>625-2 지자체출자출연금</t>
    <phoneticPr fontId="2" type="noConversion"/>
  </si>
  <si>
    <t>625-3 기타출자출연금</t>
    <phoneticPr fontId="2" type="noConversion"/>
  </si>
  <si>
    <t>ㅇ법인전입금</t>
    <phoneticPr fontId="2" type="noConversion"/>
  </si>
  <si>
    <t>­ 법인전입금</t>
    <phoneticPr fontId="2" type="noConversion"/>
  </si>
  <si>
    <t>2018년 세출예산서(안)</t>
    <phoneticPr fontId="2" type="noConversion"/>
  </si>
  <si>
    <t>[일반회계]</t>
    <phoneticPr fontId="2" type="noConversion"/>
  </si>
  <si>
    <t>(단위:천원)</t>
    <phoneticPr fontId="2" type="noConversion"/>
  </si>
  <si>
    <t>예산과목</t>
    <phoneticPr fontId="2" type="noConversion"/>
  </si>
  <si>
    <t>산출내역</t>
    <phoneticPr fontId="2" type="noConversion"/>
  </si>
  <si>
    <t>예산액</t>
    <phoneticPr fontId="2" type="noConversion"/>
  </si>
  <si>
    <t>증감</t>
    <phoneticPr fontId="2" type="noConversion"/>
  </si>
  <si>
    <t>증감률</t>
    <phoneticPr fontId="2" type="noConversion"/>
  </si>
  <si>
    <t>장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</si>
  <si>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</si>
  <si>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</si>
  <si>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</si>
  <si>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세목</t>
    <phoneticPr fontId="2" type="noConversion"/>
  </si>
  <si>
    <t>세세목</t>
    <phoneticPr fontId="2" type="noConversion"/>
  </si>
  <si>
    <t>토당청소년수련관</t>
    <phoneticPr fontId="2" type="noConversion"/>
  </si>
  <si>
    <t>700 사업비용</t>
    <phoneticPr fontId="2" type="noConversion"/>
  </si>
  <si>
    <t>710 영업비용</t>
    <phoneticPr fontId="2" type="noConversion"/>
  </si>
  <si>
    <t>100 인건비</t>
    <phoneticPr fontId="2" type="noConversion"/>
  </si>
  <si>
    <t>101 급여</t>
    <phoneticPr fontId="2" type="noConversion"/>
  </si>
  <si>
    <t>ㅇ기본급</t>
    <phoneticPr fontId="2" type="noConversion"/>
  </si>
  <si>
    <t xml:space="preserve">× </t>
    <phoneticPr fontId="2" type="noConversion"/>
  </si>
  <si>
    <t>=</t>
    <phoneticPr fontId="2" type="noConversion"/>
  </si>
  <si>
    <t>­ 경영관리부장(5급13호,14호)</t>
    <phoneticPr fontId="2" type="noConversion"/>
  </si>
  <si>
    <t>­ 교육사업부장(5급20호,21호)</t>
    <phoneticPr fontId="2" type="noConversion"/>
  </si>
  <si>
    <t>­ 팀장(6급21호)-특별사업, 강좌</t>
    <phoneticPr fontId="2" type="noConversion"/>
  </si>
  <si>
    <t>­ 대리(7급13호)-강좌,청운위등</t>
    <phoneticPr fontId="2" type="noConversion"/>
  </si>
  <si>
    <t>­ 대리(7급11호)-식당사업</t>
    <phoneticPr fontId="2" type="noConversion"/>
  </si>
  <si>
    <t>­ 대리(7급10호)-시설관리등</t>
    <phoneticPr fontId="2" type="noConversion"/>
  </si>
  <si>
    <t>­ 대리(7급8호)-세무,출납등</t>
    <phoneticPr fontId="2" type="noConversion"/>
  </si>
  <si>
    <t>­ 대리(7급7, 8호)-인증제,단체</t>
    <phoneticPr fontId="2" type="noConversion"/>
  </si>
  <si>
    <t>­ 대리(7급18호) - 방과후 SM</t>
    <phoneticPr fontId="2" type="noConversion"/>
  </si>
  <si>
    <t>­ 대리(7급6호)-대관,재물관리등</t>
    <phoneticPr fontId="2" type="noConversion"/>
  </si>
  <si>
    <t>­ 대리(7급6호)-스포츠센터 등</t>
    <phoneticPr fontId="2" type="noConversion"/>
  </si>
  <si>
    <t>ㅇ시간외/당직근무수당</t>
    <phoneticPr fontId="2" type="noConversion"/>
  </si>
  <si>
    <t>­ 시간외및당직근무수당</t>
    <phoneticPr fontId="2" type="noConversion"/>
  </si>
  <si>
    <t>ㅇ직책보조비</t>
    <phoneticPr fontId="2" type="noConversion"/>
  </si>
  <si>
    <t>­ 부장</t>
    <phoneticPr fontId="2" type="noConversion"/>
  </si>
  <si>
    <t>­ 팀장</t>
    <phoneticPr fontId="2" type="noConversion"/>
  </si>
  <si>
    <t>ㅇ가족수당</t>
    <phoneticPr fontId="2" type="noConversion"/>
  </si>
  <si>
    <t>­ 배우자,부양가족</t>
    <phoneticPr fontId="2" type="noConversion"/>
  </si>
  <si>
    <t>­ 정액급식비(배치지도사 계약직포함)</t>
    <phoneticPr fontId="2" type="noConversion"/>
  </si>
  <si>
    <t>ㅇ출납수당</t>
    <phoneticPr fontId="2" type="noConversion"/>
  </si>
  <si>
    <t>­ 출납수당</t>
    <phoneticPr fontId="2" type="noConversion"/>
  </si>
  <si>
    <t>ㅇ소방안전관리자</t>
    <phoneticPr fontId="2" type="noConversion"/>
  </si>
  <si>
    <t>­ 소방안전관리자수당</t>
    <phoneticPr fontId="2" type="noConversion"/>
  </si>
  <si>
    <t>ㅇ전기관리자</t>
    <phoneticPr fontId="2" type="noConversion"/>
  </si>
  <si>
    <t>­ 전기관리자 수당</t>
    <phoneticPr fontId="2" type="noConversion"/>
  </si>
  <si>
    <t>­ 명절휴가비(배치지도사 계약직포함)</t>
    <phoneticPr fontId="2" type="noConversion"/>
  </si>
  <si>
    <t>­ 연가보상비(배치지도사 계약직포함)</t>
    <phoneticPr fontId="2" type="noConversion"/>
  </si>
  <si>
    <t>105 기간제근로자보수</t>
    <phoneticPr fontId="2" type="noConversion"/>
  </si>
  <si>
    <t>ㅇ안내데스크</t>
    <phoneticPr fontId="2" type="noConversion"/>
  </si>
  <si>
    <t>­ 안내계약직 1명</t>
    <phoneticPr fontId="2" type="noConversion"/>
  </si>
  <si>
    <t>ㅇ경비업무</t>
    <phoneticPr fontId="2" type="noConversion"/>
  </si>
  <si>
    <t>­ 경비계약직 1명</t>
    <phoneticPr fontId="2" type="noConversion"/>
  </si>
  <si>
    <t>106 퇴직급여</t>
    <phoneticPr fontId="2" type="noConversion"/>
  </si>
  <si>
    <t>­ 퇴직급여충당금</t>
    <phoneticPr fontId="2" type="noConversion"/>
  </si>
  <si>
    <t>201 복리후생비</t>
    <phoneticPr fontId="2" type="noConversion"/>
  </si>
  <si>
    <t>ㅇ사회4대보험</t>
    <phoneticPr fontId="2" type="noConversion"/>
  </si>
  <si>
    <t>­ 국민연금부담금</t>
    <phoneticPr fontId="2" type="noConversion"/>
  </si>
  <si>
    <t>­ 국민건강보험부담금</t>
    <phoneticPr fontId="2" type="noConversion"/>
  </si>
  <si>
    <t>­ 고용보험부담금</t>
    <phoneticPr fontId="2" type="noConversion"/>
  </si>
  <si>
    <t>­ 산재보험부담금</t>
    <phoneticPr fontId="2" type="noConversion"/>
  </si>
  <si>
    <t>203 공공요금 및 제세</t>
    <phoneticPr fontId="2" type="noConversion"/>
  </si>
  <si>
    <t>ㅇ통신비</t>
    <phoneticPr fontId="2" type="noConversion"/>
  </si>
  <si>
    <t>­ 인터넷요금</t>
    <phoneticPr fontId="2" type="noConversion"/>
  </si>
  <si>
    <t>­ 전화요금</t>
    <phoneticPr fontId="2" type="noConversion"/>
  </si>
  <si>
    <t>­ 신문대금</t>
    <phoneticPr fontId="2" type="noConversion"/>
  </si>
  <si>
    <t>204 수도광열비</t>
    <phoneticPr fontId="2" type="noConversion"/>
  </si>
  <si>
    <t>ㅇ전기요금</t>
    <phoneticPr fontId="2" type="noConversion"/>
  </si>
  <si>
    <t>­ 전기요금</t>
    <phoneticPr fontId="2" type="noConversion"/>
  </si>
  <si>
    <t>ㅇ가스요금</t>
    <phoneticPr fontId="2" type="noConversion"/>
  </si>
  <si>
    <t>­ 가스요금</t>
    <phoneticPr fontId="2" type="noConversion"/>
  </si>
  <si>
    <t>210 수선유지비</t>
    <phoneticPr fontId="2" type="noConversion"/>
  </si>
  <si>
    <t>ㅇ시설장비유지비</t>
    <phoneticPr fontId="2" type="noConversion"/>
  </si>
  <si>
    <t>­ 인테리어 및 폐기물처리비</t>
    <phoneticPr fontId="2" type="noConversion"/>
  </si>
  <si>
    <t>213 지급수수료</t>
    <phoneticPr fontId="2" type="noConversion"/>
  </si>
  <si>
    <t>ㅇ미화용역비</t>
    <phoneticPr fontId="2" type="noConversion"/>
  </si>
  <si>
    <t>­ 미화용역</t>
    <phoneticPr fontId="2" type="noConversion"/>
  </si>
  <si>
    <t>720 청소년사업비</t>
    <phoneticPr fontId="2" type="noConversion"/>
  </si>
  <si>
    <t>721 보조금사업비</t>
    <phoneticPr fontId="2" type="noConversion"/>
  </si>
  <si>
    <t>721-1 국도시비보조금사업비</t>
    <phoneticPr fontId="2" type="noConversion"/>
  </si>
  <si>
    <t>- 강사비</t>
    <phoneticPr fontId="2" type="noConversion"/>
  </si>
  <si>
    <t>- 운영비</t>
    <phoneticPr fontId="2" type="noConversion"/>
  </si>
  <si>
    <t>721-2 경기도교육청사업비</t>
    <phoneticPr fontId="2" type="noConversion"/>
  </si>
  <si>
    <t>- 운영비</t>
    <phoneticPr fontId="2" type="noConversion"/>
  </si>
  <si>
    <t>721-3 경찰서 보조금 사업비</t>
    <phoneticPr fontId="2" type="noConversion"/>
  </si>
  <si>
    <t>722 목적사업비</t>
    <phoneticPr fontId="2" type="noConversion"/>
  </si>
  <si>
    <t>722-1 청소년사업비</t>
    <phoneticPr fontId="2" type="noConversion"/>
  </si>
  <si>
    <t>730 위탁사업비</t>
    <phoneticPr fontId="2" type="noConversion"/>
  </si>
  <si>
    <t>인건비</t>
    <phoneticPr fontId="2" type="noConversion"/>
  </si>
  <si>
    <t>ㅇ 기간제근로자보수</t>
    <phoneticPr fontId="2" type="noConversion"/>
  </si>
  <si>
    <t>­ 보조조리사</t>
    <phoneticPr fontId="2" type="noConversion"/>
  </si>
  <si>
    <t>­ 헬스장 토요근무자(7시간)</t>
    <phoneticPr fontId="2" type="noConversion"/>
  </si>
  <si>
    <t>­ 헬스장 야간근무자(3시간)</t>
    <phoneticPr fontId="2" type="noConversion"/>
  </si>
  <si>
    <t>경비</t>
    <phoneticPr fontId="2" type="noConversion"/>
  </si>
  <si>
    <t>­ 근로자의날 위문품</t>
    <phoneticPr fontId="2" type="noConversion"/>
  </si>
  <si>
    <t>­ 강사외명절선물</t>
    <phoneticPr fontId="2" type="noConversion"/>
  </si>
  <si>
    <t>­ 국내여비</t>
    <phoneticPr fontId="2" type="noConversion"/>
  </si>
  <si>
    <t>ㅇ제세공과금</t>
    <phoneticPr fontId="2" type="noConversion"/>
  </si>
  <si>
    <t>­ 환경개선부담금</t>
    <phoneticPr fontId="2" type="noConversion"/>
  </si>
  <si>
    <t>­ 교통유발부담금</t>
    <phoneticPr fontId="2" type="noConversion"/>
  </si>
  <si>
    <t>­ 재산세주민분</t>
    <phoneticPr fontId="2" type="noConversion"/>
  </si>
  <si>
    <t>­ 협회가입비</t>
    <phoneticPr fontId="2" type="noConversion"/>
  </si>
  <si>
    <t>­ 부가가치세</t>
    <phoneticPr fontId="2" type="noConversion"/>
  </si>
  <si>
    <t>ㅇ소모품비</t>
    <phoneticPr fontId="2" type="noConversion"/>
  </si>
  <si>
    <t>­ 업무피복비</t>
    <phoneticPr fontId="2" type="noConversion"/>
  </si>
  <si>
    <t>ㅇ도서인쇄비</t>
    <phoneticPr fontId="2" type="noConversion"/>
  </si>
  <si>
    <t>209 지급임차료</t>
    <phoneticPr fontId="2" type="noConversion"/>
  </si>
  <si>
    <t>ㅇ지급임차료</t>
    <phoneticPr fontId="2" type="noConversion"/>
  </si>
  <si>
    <t>­ 정수기임차료</t>
    <phoneticPr fontId="2" type="noConversion"/>
  </si>
  <si>
    <t>­ 흡수식냉온수기</t>
    <phoneticPr fontId="2" type="noConversion"/>
  </si>
  <si>
    <t>­ 팩스, 복사기임대</t>
    <phoneticPr fontId="2" type="noConversion"/>
  </si>
  <si>
    <t>­ 차량렌트유지비</t>
    <phoneticPr fontId="2" type="noConversion"/>
  </si>
  <si>
    <t>ㅇ수선유지비</t>
    <phoneticPr fontId="2" type="noConversion"/>
  </si>
  <si>
    <t>­ 수리수선비</t>
    <phoneticPr fontId="2" type="noConversion"/>
  </si>
  <si>
    <t>­ 무인경비관리</t>
    <phoneticPr fontId="2" type="noConversion"/>
  </si>
  <si>
    <t>­ 부스타관리</t>
    <phoneticPr fontId="2" type="noConversion"/>
  </si>
  <si>
    <t>­ 승강기관리</t>
    <phoneticPr fontId="2" type="noConversion"/>
  </si>
  <si>
    <t>­ 전기안전관리</t>
    <phoneticPr fontId="2" type="noConversion"/>
  </si>
  <si>
    <t>­ 컴퓨터관리</t>
    <phoneticPr fontId="2" type="noConversion"/>
  </si>
  <si>
    <t>­ 홈페이지관리</t>
    <phoneticPr fontId="2" type="noConversion"/>
  </si>
  <si>
    <t>­ 정밀점검비</t>
    <phoneticPr fontId="2" type="noConversion"/>
  </si>
  <si>
    <t>­ 기능점검비</t>
    <phoneticPr fontId="2" type="noConversion"/>
  </si>
  <si>
    <t>­ 탱크청소비</t>
    <phoneticPr fontId="2" type="noConversion"/>
  </si>
  <si>
    <t>­ 시설인테리어비</t>
    <phoneticPr fontId="2" type="noConversion"/>
  </si>
  <si>
    <t>­ 전산회계관리, 회원관리시스템</t>
    <phoneticPr fontId="2" type="noConversion"/>
  </si>
  <si>
    <t>212 보험료</t>
    <phoneticPr fontId="2" type="noConversion"/>
  </si>
  <si>
    <t>ㅇ보험료</t>
    <phoneticPr fontId="2" type="noConversion"/>
  </si>
  <si>
    <t>­ 신원보증보험료</t>
    <phoneticPr fontId="2" type="noConversion"/>
  </si>
  <si>
    <t>­ 화재보험료</t>
    <phoneticPr fontId="2" type="noConversion"/>
  </si>
  <si>
    <t>­ 배상책임보험료</t>
    <phoneticPr fontId="2" type="noConversion"/>
  </si>
  <si>
    <t>ㅇ지급수수료</t>
    <phoneticPr fontId="2" type="noConversion"/>
  </si>
  <si>
    <t>­ 정기소독비</t>
    <phoneticPr fontId="2" type="noConversion"/>
  </si>
  <si>
    <t>­ 등록검사비</t>
    <phoneticPr fontId="2" type="noConversion"/>
  </si>
  <si>
    <t>­ 폐기물처리, 하자보수비</t>
    <phoneticPr fontId="2" type="noConversion"/>
  </si>
  <si>
    <t>­ 프로그램카드수수료</t>
    <phoneticPr fontId="2" type="noConversion"/>
  </si>
  <si>
    <t>214 업무추진비</t>
    <phoneticPr fontId="2" type="noConversion"/>
  </si>
  <si>
    <t>215 관서업무비</t>
    <phoneticPr fontId="2" type="noConversion"/>
  </si>
  <si>
    <t>216 교육훈련비</t>
    <phoneticPr fontId="2" type="noConversion"/>
  </si>
  <si>
    <t>ㅇ위탁훈련비</t>
    <phoneticPr fontId="2" type="noConversion"/>
  </si>
  <si>
    <t>­ 직원보수교육 및 기타교육</t>
    <phoneticPr fontId="2" type="noConversion"/>
  </si>
  <si>
    <t>218 행사.홍보비</t>
    <phoneticPr fontId="2" type="noConversion"/>
  </si>
  <si>
    <t>ㅇ행사,홍보비</t>
    <phoneticPr fontId="2" type="noConversion"/>
  </si>
  <si>
    <t>­ 현수막제작비</t>
    <phoneticPr fontId="2" type="noConversion"/>
  </si>
  <si>
    <t>=</t>
    <phoneticPr fontId="2" type="noConversion"/>
  </si>
  <si>
    <t>­ 홍보안내지, 인쇄물제작비</t>
    <phoneticPr fontId="2" type="noConversion"/>
  </si>
  <si>
    <t xml:space="preserve">× </t>
    <phoneticPr fontId="2" type="noConversion"/>
  </si>
  <si>
    <t>405-1 자산취득비</t>
    <phoneticPr fontId="2" type="noConversion"/>
  </si>
  <si>
    <t>731 사업비</t>
    <phoneticPr fontId="2" type="noConversion"/>
  </si>
  <si>
    <t>731-1교육문화프로그램사업비</t>
    <phoneticPr fontId="2" type="noConversion"/>
  </si>
  <si>
    <t xml:space="preserve">ㅇ발레 </t>
    <phoneticPr fontId="2" type="noConversion"/>
  </si>
  <si>
    <t xml:space="preserve">ㅇ건강요가 </t>
    <phoneticPr fontId="2" type="noConversion"/>
  </si>
  <si>
    <t>ㅇ인라인 안전교실</t>
    <phoneticPr fontId="2" type="noConversion"/>
  </si>
  <si>
    <t>ㅇ키성장 농구</t>
    <phoneticPr fontId="2" type="noConversion"/>
  </si>
  <si>
    <t>- 강사비(토)</t>
    <phoneticPr fontId="2" type="noConversion"/>
  </si>
  <si>
    <t>- 강사비(일)</t>
    <phoneticPr fontId="2" type="noConversion"/>
  </si>
  <si>
    <t>- 강사비(화, 목)</t>
    <phoneticPr fontId="2" type="noConversion"/>
  </si>
  <si>
    <t>ㅇ방송댄스</t>
    <phoneticPr fontId="2" type="noConversion"/>
  </si>
  <si>
    <t>ㅇ신나는 음악줄넘기</t>
    <phoneticPr fontId="2" type="noConversion"/>
  </si>
  <si>
    <t>ㅇ스쿼시</t>
    <phoneticPr fontId="2" type="noConversion"/>
  </si>
  <si>
    <t>- 시설보수비</t>
    <phoneticPr fontId="2" type="noConversion"/>
  </si>
  <si>
    <t>ㅇ헬스</t>
    <phoneticPr fontId="2" type="noConversion"/>
  </si>
  <si>
    <t>- 강사비(저녁)</t>
    <phoneticPr fontId="2" type="noConversion"/>
  </si>
  <si>
    <t>- 강사비(토요)</t>
    <phoneticPr fontId="2" type="noConversion"/>
  </si>
  <si>
    <t>- 운영비(피복비 외)</t>
    <phoneticPr fontId="2" type="noConversion"/>
  </si>
  <si>
    <t>ㅇ태권도 및 호신술</t>
    <phoneticPr fontId="2" type="noConversion"/>
  </si>
  <si>
    <t>- 재료비(바닥 외)</t>
    <phoneticPr fontId="2" type="noConversion"/>
  </si>
  <si>
    <t>ㅇ피아노</t>
    <phoneticPr fontId="2" type="noConversion"/>
  </si>
  <si>
    <t>ㅇ통기타, 클래식기타, 우크렐레</t>
    <phoneticPr fontId="2" type="noConversion"/>
  </si>
  <si>
    <t>ㅇ바이올린</t>
    <phoneticPr fontId="2" type="noConversion"/>
  </si>
  <si>
    <t>ㅇ보컬트레이닝</t>
    <phoneticPr fontId="2" type="noConversion"/>
  </si>
  <si>
    <t>ㅇ유화</t>
    <phoneticPr fontId="2" type="noConversion"/>
  </si>
  <si>
    <t>ㅇ한국화</t>
    <phoneticPr fontId="2" type="noConversion"/>
  </si>
  <si>
    <t>ㅇ미술창작</t>
    <phoneticPr fontId="2" type="noConversion"/>
  </si>
  <si>
    <t>ㅇ자신감 UP 유아미술</t>
    <phoneticPr fontId="2" type="noConversion"/>
  </si>
  <si>
    <t>ㅇ데생</t>
    <phoneticPr fontId="2" type="noConversion"/>
  </si>
  <si>
    <t>ㅇ칼라클레이</t>
    <phoneticPr fontId="2" type="noConversion"/>
  </si>
  <si>
    <t>ㅇ수채화</t>
    <phoneticPr fontId="2" type="noConversion"/>
  </si>
  <si>
    <t>ㅇ바리스타</t>
    <phoneticPr fontId="2" type="noConversion"/>
  </si>
  <si>
    <t>- 운영비</t>
    <phoneticPr fontId="2" type="noConversion"/>
  </si>
  <si>
    <t>ㅇ캘리크라피, 서예</t>
    <phoneticPr fontId="2" type="noConversion"/>
  </si>
  <si>
    <t>ㅇ상상의 나래(종이접기)</t>
    <phoneticPr fontId="2" type="noConversion"/>
  </si>
  <si>
    <t>- 강사비</t>
    <phoneticPr fontId="2" type="noConversion"/>
  </si>
  <si>
    <t>o풍물</t>
    <phoneticPr fontId="2" type="noConversion"/>
  </si>
  <si>
    <t>- 가족생일잔치</t>
    <phoneticPr fontId="2" type="noConversion"/>
  </si>
  <si>
    <t>- 가족체험활동</t>
    <phoneticPr fontId="2" type="noConversion"/>
  </si>
  <si>
    <t>ㅇ도예</t>
    <phoneticPr fontId="2" type="noConversion"/>
  </si>
  <si>
    <t>=</t>
    <phoneticPr fontId="2" type="noConversion"/>
  </si>
  <si>
    <t>o과학체험활동</t>
    <phoneticPr fontId="2" type="noConversion"/>
  </si>
  <si>
    <t>o영어</t>
    <phoneticPr fontId="2" type="noConversion"/>
  </si>
  <si>
    <t>o중국어</t>
    <phoneticPr fontId="2" type="noConversion"/>
  </si>
  <si>
    <t>=</t>
    <phoneticPr fontId="2" type="noConversion"/>
  </si>
  <si>
    <t>731-2 활동사업비</t>
    <phoneticPr fontId="2" type="noConversion"/>
  </si>
  <si>
    <t>- 강사비(헬스)</t>
    <phoneticPr fontId="2" type="noConversion"/>
  </si>
  <si>
    <t xml:space="preserve"> - 인쇄물, 홍보비</t>
    <phoneticPr fontId="2" type="noConversion"/>
  </si>
  <si>
    <t xml:space="preserve">  - 재료비 및 행사진행비</t>
    <phoneticPr fontId="2" type="noConversion"/>
  </si>
  <si>
    <t xml:space="preserve">  - 기획단 사전평가</t>
    <phoneticPr fontId="2" type="noConversion"/>
  </si>
  <si>
    <t>o 청소년자치기구</t>
    <phoneticPr fontId="2" type="noConversion"/>
  </si>
  <si>
    <t>731-3 식당사업비</t>
    <phoneticPr fontId="2" type="noConversion"/>
  </si>
  <si>
    <t>o 식당사업비</t>
    <phoneticPr fontId="2" type="noConversion"/>
  </si>
  <si>
    <t>­ 식사재구입비</t>
    <phoneticPr fontId="2" type="noConversion"/>
  </si>
  <si>
    <t>­ 기타물품비,수리비. 운영비</t>
    <phoneticPr fontId="2" type="noConversion"/>
  </si>
  <si>
    <t>731-4 자판기사업비</t>
    <phoneticPr fontId="2" type="noConversion"/>
  </si>
  <si>
    <t>o 자판기사업비</t>
    <phoneticPr fontId="2" type="noConversion"/>
  </si>
  <si>
    <t>­ 자판기음료구입</t>
    <phoneticPr fontId="2" type="noConversion"/>
  </si>
  <si>
    <t>731-5 대관사업비</t>
    <phoneticPr fontId="2" type="noConversion"/>
  </si>
  <si>
    <t>­ 대관사업필요물품 구입</t>
    <phoneticPr fontId="2" type="noConversion"/>
  </si>
  <si>
    <t>731-6 방과후사업비</t>
    <phoneticPr fontId="2" type="noConversion"/>
  </si>
  <si>
    <t>­ 직원 정액급식비 지원(3명)</t>
    <phoneticPr fontId="2" type="noConversion"/>
  </si>
  <si>
    <t>­ 4대보험료 지원(3명)</t>
    <phoneticPr fontId="2" type="noConversion"/>
  </si>
  <si>
    <t>[일반회계]</t>
    <phoneticPr fontId="2" type="noConversion"/>
  </si>
  <si>
    <t>(단위:천원)</t>
    <phoneticPr fontId="2" type="noConversion"/>
  </si>
  <si>
    <t>예산과목</t>
    <phoneticPr fontId="2" type="noConversion"/>
  </si>
  <si>
    <t>산출내역</t>
    <phoneticPr fontId="2" type="noConversion"/>
  </si>
  <si>
    <t>예산액</t>
    <phoneticPr fontId="2" type="noConversion"/>
  </si>
  <si>
    <t>증감</t>
    <phoneticPr fontId="2" type="noConversion"/>
  </si>
  <si>
    <t>증감률</t>
    <phoneticPr fontId="2" type="noConversion"/>
  </si>
  <si>
    <t>장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</si>
  <si>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</si>
  <si>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</si>
  <si>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</si>
  <si>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세목</t>
    <phoneticPr fontId="2" type="noConversion"/>
  </si>
  <si>
    <t>600 사업수익</t>
    <phoneticPr fontId="2" type="noConversion"/>
  </si>
  <si>
    <t>610 영업수익</t>
    <phoneticPr fontId="2" type="noConversion"/>
  </si>
  <si>
    <t>611 자체사업수익</t>
    <phoneticPr fontId="2" type="noConversion"/>
  </si>
  <si>
    <t>611-1 사업운영수익</t>
    <phoneticPr fontId="2" type="noConversion"/>
  </si>
  <si>
    <t>ㅇ프로그램</t>
    <phoneticPr fontId="2" type="noConversion"/>
  </si>
  <si>
    <t>­ 놀이치료</t>
    <phoneticPr fontId="2" type="noConversion"/>
  </si>
  <si>
    <t xml:space="preserve">× </t>
    <phoneticPr fontId="2" type="noConversion"/>
  </si>
  <si>
    <t>=</t>
    <phoneticPr fontId="2" type="noConversion"/>
  </si>
  <si>
    <t>­ 심리검사</t>
    <phoneticPr fontId="2" type="noConversion"/>
  </si>
  <si>
    <t>­ 집단및상설</t>
    <phoneticPr fontId="2" type="noConversion"/>
  </si>
  <si>
    <t>620 영업외수익</t>
    <phoneticPr fontId="2" type="noConversion"/>
  </si>
  <si>
    <t>621 이자수익</t>
    <phoneticPr fontId="2" type="noConversion"/>
  </si>
  <si>
    <t>ㅇ예금이자수익</t>
    <phoneticPr fontId="2" type="noConversion"/>
  </si>
  <si>
    <t>­ 예금이자</t>
    <phoneticPr fontId="2" type="noConversion"/>
  </si>
  <si>
    <t>623-1 국도시비보조금</t>
    <phoneticPr fontId="2" type="noConversion"/>
  </si>
  <si>
    <t>­ 준비비 및 진행비</t>
    <phoneticPr fontId="2" type="noConversion"/>
  </si>
  <si>
    <t>­ 강사비</t>
    <phoneticPr fontId="2" type="noConversion"/>
  </si>
  <si>
    <t>ㅇ집단 및 상설</t>
    <phoneticPr fontId="2" type="noConversion"/>
  </si>
  <si>
    <t>­ 검사지구입비</t>
    <phoneticPr fontId="2" type="noConversion"/>
  </si>
  <si>
    <t>ㅇ심리검사비</t>
    <phoneticPr fontId="2" type="noConversion"/>
  </si>
  <si>
    <t>­ 물품구입비</t>
    <phoneticPr fontId="2" type="noConversion"/>
  </si>
  <si>
    <t>ㅇ개인상담(놀이,미술치료)</t>
    <phoneticPr fontId="2" type="noConversion"/>
  </si>
  <si>
    <t>732-1 청소년프로그램</t>
    <phoneticPr fontId="2" type="noConversion"/>
  </si>
  <si>
    <t>214 업무추진비</t>
    <phoneticPr fontId="2" type="noConversion"/>
  </si>
  <si>
    <t>207 피복비</t>
    <phoneticPr fontId="2" type="noConversion"/>
  </si>
  <si>
    <t>101 인건비</t>
    <phoneticPr fontId="2" type="noConversion"/>
  </si>
  <si>
    <t>732 민간사업비</t>
    <phoneticPr fontId="2" type="noConversion"/>
  </si>
  <si>
    <t>730 자체사업비</t>
    <phoneticPr fontId="2" type="noConversion"/>
  </si>
  <si>
    <t>775 기타영업외비용</t>
    <phoneticPr fontId="2" type="noConversion"/>
  </si>
  <si>
    <t>770 영업외비용</t>
    <phoneticPr fontId="2" type="noConversion"/>
  </si>
  <si>
    <t xml:space="preserve">     - 팀원</t>
    <phoneticPr fontId="2" type="noConversion"/>
  </si>
  <si>
    <t xml:space="preserve">      ·  시간외근무수당</t>
    <phoneticPr fontId="2" type="noConversion"/>
  </si>
  <si>
    <t xml:space="preserve">     - 팀원 라 </t>
    <phoneticPr fontId="2" type="noConversion"/>
  </si>
  <si>
    <t xml:space="preserve">     - 팀원 다 </t>
    <phoneticPr fontId="2" type="noConversion"/>
  </si>
  <si>
    <t xml:space="preserve">     - 팀원 나 </t>
    <phoneticPr fontId="2" type="noConversion"/>
  </si>
  <si>
    <t xml:space="preserve">     - 팀원 가</t>
    <phoneticPr fontId="2" type="noConversion"/>
  </si>
  <si>
    <t xml:space="preserve">      ·  가계지원비</t>
    <phoneticPr fontId="2" type="noConversion"/>
  </si>
  <si>
    <t xml:space="preserve">     - 팀원 라</t>
    <phoneticPr fontId="2" type="noConversion"/>
  </si>
  <si>
    <t xml:space="preserve">     - 팀원 가 </t>
    <phoneticPr fontId="2" type="noConversion"/>
  </si>
  <si>
    <t xml:space="preserve">      ·  가족수당</t>
    <phoneticPr fontId="2" type="noConversion"/>
  </si>
  <si>
    <t xml:space="preserve">     - 팀원</t>
    <phoneticPr fontId="2" type="noConversion"/>
  </si>
  <si>
    <t xml:space="preserve">      ·  자격수당</t>
    <phoneticPr fontId="2" type="noConversion"/>
  </si>
  <si>
    <t xml:space="preserve">      · 급량비</t>
    <phoneticPr fontId="2" type="noConversion"/>
  </si>
  <si>
    <t xml:space="preserve">      · 교통비</t>
    <phoneticPr fontId="2" type="noConversion"/>
  </si>
  <si>
    <t xml:space="preserve">   - 인건비</t>
    <phoneticPr fontId="2" type="noConversion"/>
  </si>
  <si>
    <t xml:space="preserve">     - 산재보험부담금</t>
    <phoneticPr fontId="2" type="noConversion"/>
  </si>
  <si>
    <t xml:space="preserve">     - 고용보험부담금</t>
    <phoneticPr fontId="2" type="noConversion"/>
  </si>
  <si>
    <t xml:space="preserve">     - 장기요양보험부담금</t>
    <phoneticPr fontId="2" type="noConversion"/>
  </si>
  <si>
    <t xml:space="preserve">     - 국민건강보험부담금</t>
    <phoneticPr fontId="2" type="noConversion"/>
  </si>
  <si>
    <t xml:space="preserve">     - 국민연금부담금</t>
    <phoneticPr fontId="2" type="noConversion"/>
  </si>
  <si>
    <t xml:space="preserve">      ·  사회4대보험</t>
    <phoneticPr fontId="2" type="noConversion"/>
  </si>
  <si>
    <t xml:space="preserve">     - 퇴직급여충당금</t>
    <phoneticPr fontId="2" type="noConversion"/>
  </si>
  <si>
    <t xml:space="preserve">      ·  퇴직급여충당금</t>
    <phoneticPr fontId="2" type="noConversion"/>
  </si>
  <si>
    <t xml:space="preserve">     - 팀장</t>
    <phoneticPr fontId="2" type="noConversion"/>
  </si>
  <si>
    <t xml:space="preserve">      · 시간외근무수당</t>
    <phoneticPr fontId="2" type="noConversion"/>
  </si>
  <si>
    <t xml:space="preserve">     - 팀장, 팀원</t>
    <phoneticPr fontId="2" type="noConversion"/>
  </si>
  <si>
    <t xml:space="preserve">      ·  자격수당</t>
    <phoneticPr fontId="2" type="noConversion"/>
  </si>
  <si>
    <t xml:space="preserve">      - 팀장, 팀원</t>
    <phoneticPr fontId="2" type="noConversion"/>
  </si>
  <si>
    <t xml:space="preserve">      · 교통비</t>
    <phoneticPr fontId="2" type="noConversion"/>
  </si>
  <si>
    <t xml:space="preserve">      · 급량비</t>
    <phoneticPr fontId="2" type="noConversion"/>
  </si>
  <si>
    <t xml:space="preserve">      · 장기근속수당</t>
    <phoneticPr fontId="2" type="noConversion"/>
  </si>
  <si>
    <t xml:space="preserve">      · 기말수당</t>
    <phoneticPr fontId="2" type="noConversion"/>
  </si>
  <si>
    <t xml:space="preserve">   - 인건비</t>
    <phoneticPr fontId="2" type="noConversion"/>
  </si>
  <si>
    <t>­ 평가회비</t>
    <phoneticPr fontId="2" type="noConversion"/>
  </si>
  <si>
    <t>­ 프로그램진행비</t>
    <phoneticPr fontId="2" type="noConversion"/>
  </si>
  <si>
    <t>ㅇ사례교육프로그램</t>
    <phoneticPr fontId="2" type="noConversion"/>
  </si>
  <si>
    <t>­ 전단홍보비</t>
    <phoneticPr fontId="2" type="noConversion"/>
  </si>
  <si>
    <t>­ 진행비</t>
    <phoneticPr fontId="2" type="noConversion"/>
  </si>
  <si>
    <t>­ 강사비</t>
    <phoneticPr fontId="2" type="noConversion"/>
  </si>
  <si>
    <t>ㅇ집단프로그램</t>
    <phoneticPr fontId="2" type="noConversion"/>
  </si>
  <si>
    <t>­ 프로그램진행비</t>
    <phoneticPr fontId="2" type="noConversion"/>
  </si>
  <si>
    <t>­ 프로그램강사비</t>
    <phoneticPr fontId="2" type="noConversion"/>
  </si>
  <si>
    <t>ㅇ카운슬러대학및상설프로그램</t>
    <phoneticPr fontId="2" type="noConversion"/>
  </si>
  <si>
    <t>­ 프로그램준비비</t>
    <phoneticPr fontId="2" type="noConversion"/>
  </si>
  <si>
    <t>ㅇ부모교육특강및집단상담</t>
    <phoneticPr fontId="2" type="noConversion"/>
  </si>
  <si>
    <t>­ 준비비</t>
    <phoneticPr fontId="2" type="noConversion"/>
  </si>
  <si>
    <t>ㅇ또래상담교육프로그램</t>
    <phoneticPr fontId="2" type="noConversion"/>
  </si>
  <si>
    <t>­ 사례발간비</t>
    <phoneticPr fontId="2" type="noConversion"/>
  </si>
  <si>
    <t>­ 평가회비</t>
    <phoneticPr fontId="2" type="noConversion"/>
  </si>
  <si>
    <t>ㅇ또래상담동아리</t>
    <phoneticPr fontId="2" type="noConversion"/>
  </si>
  <si>
    <t>720 청소년사업비</t>
    <phoneticPr fontId="2" type="noConversion"/>
  </si>
  <si>
    <t>401-3 시설부대비</t>
    <phoneticPr fontId="2" type="noConversion"/>
  </si>
  <si>
    <t>­ 기타운영비</t>
    <phoneticPr fontId="2" type="noConversion"/>
  </si>
  <si>
    <t>- 팀장활동비</t>
    <phoneticPr fontId="2" type="noConversion"/>
  </si>
  <si>
    <t>­ 기관운영업무추진비</t>
    <phoneticPr fontId="2" type="noConversion"/>
  </si>
  <si>
    <t>ㅇ 업무추진비</t>
    <phoneticPr fontId="2" type="noConversion"/>
  </si>
  <si>
    <t>­ 회계보증보험</t>
    <phoneticPr fontId="2" type="noConversion"/>
  </si>
  <si>
    <t>­ 시설유지관리비</t>
    <phoneticPr fontId="2" type="noConversion"/>
  </si>
  <si>
    <t>­ 홈페이지관리비</t>
    <phoneticPr fontId="2" type="noConversion"/>
  </si>
  <si>
    <t>­ 신문구독료</t>
    <phoneticPr fontId="2" type="noConversion"/>
  </si>
  <si>
    <t>206 소모품비</t>
    <phoneticPr fontId="2" type="noConversion"/>
  </si>
  <si>
    <t>­ 우편물,택배 발송비</t>
    <phoneticPr fontId="2" type="noConversion"/>
  </si>
  <si>
    <t>106 퇴직급여</t>
    <phoneticPr fontId="2" type="noConversion"/>
  </si>
  <si>
    <t>×</t>
  </si>
  <si>
    <t>×</t>
    <phoneticPr fontId="2" type="noConversion"/>
  </si>
  <si>
    <t>×</t>
    <phoneticPr fontId="2" type="noConversion"/>
  </si>
  <si>
    <t>(단위:천원)</t>
    <phoneticPr fontId="2" type="noConversion"/>
  </si>
  <si>
    <t>[일반회계]</t>
    <phoneticPr fontId="2" type="noConversion"/>
  </si>
  <si>
    <t>2018년 세입예산서(안)</t>
    <phoneticPr fontId="2" type="noConversion"/>
  </si>
  <si>
    <t>[일반회계]</t>
    <phoneticPr fontId="2" type="noConversion"/>
  </si>
  <si>
    <t>(단위:천원)</t>
    <phoneticPr fontId="2" type="noConversion"/>
  </si>
  <si>
    <t>화정청소년카페</t>
    <phoneticPr fontId="2" type="noConversion"/>
  </si>
  <si>
    <t>600 사업수익</t>
    <phoneticPr fontId="2" type="noConversion"/>
  </si>
  <si>
    <t>610 영업수익</t>
    <phoneticPr fontId="2" type="noConversion"/>
  </si>
  <si>
    <t>611 자체사업수익</t>
    <phoneticPr fontId="2" type="noConversion"/>
  </si>
  <si>
    <t>611-1 사업운영수익</t>
    <phoneticPr fontId="2" type="noConversion"/>
  </si>
  <si>
    <t>ㅇ보드게임</t>
    <phoneticPr fontId="2" type="noConversion"/>
  </si>
  <si>
    <t>­ 보드게임</t>
    <phoneticPr fontId="2" type="noConversion"/>
  </si>
  <si>
    <t>=</t>
    <phoneticPr fontId="2" type="noConversion"/>
  </si>
  <si>
    <t>611-2 참가금수익</t>
    <phoneticPr fontId="2" type="noConversion"/>
  </si>
  <si>
    <t>ㅇ프로그램 참가비</t>
    <phoneticPr fontId="2" type="noConversion"/>
  </si>
  <si>
    <t xml:space="preserve">  - 프로그램참가비</t>
    <phoneticPr fontId="2" type="noConversion"/>
  </si>
  <si>
    <t>617 기타영업수익</t>
    <phoneticPr fontId="2" type="noConversion"/>
  </si>
  <si>
    <t>617-1 시설사용료수익</t>
    <phoneticPr fontId="2" type="noConversion"/>
  </si>
  <si>
    <t>­ 대관사용료</t>
    <phoneticPr fontId="2" type="noConversion"/>
  </si>
  <si>
    <t>618 판매수익</t>
    <phoneticPr fontId="2" type="noConversion"/>
  </si>
  <si>
    <t>ㅇ북카페운영</t>
    <phoneticPr fontId="2" type="noConversion"/>
  </si>
  <si>
    <t>620 영업외수익</t>
    <phoneticPr fontId="2" type="noConversion"/>
  </si>
  <si>
    <t>621 이자수익</t>
    <phoneticPr fontId="2" type="noConversion"/>
  </si>
  <si>
    <t>ㅇ예금이자수익</t>
    <phoneticPr fontId="2" type="noConversion"/>
  </si>
  <si>
    <t>624 기부금수익</t>
    <phoneticPr fontId="2" type="noConversion"/>
  </si>
  <si>
    <t>624-1 기부금수익</t>
    <phoneticPr fontId="2" type="noConversion"/>
  </si>
  <si>
    <t>ㅇ기부금수익</t>
    <phoneticPr fontId="2" type="noConversion"/>
  </si>
  <si>
    <t xml:space="preserve">   - 자부담후원</t>
    <phoneticPr fontId="2" type="noConversion"/>
  </si>
  <si>
    <t xml:space="preserve">   - 자원봉사후원</t>
    <phoneticPr fontId="2" type="noConversion"/>
  </si>
  <si>
    <t xml:space="preserve">   - 지역운영회후원</t>
    <phoneticPr fontId="2" type="noConversion"/>
  </si>
  <si>
    <t>(단위:천원)</t>
    <phoneticPr fontId="2" type="noConversion"/>
  </si>
  <si>
    <t>전년도
예산액</t>
    <phoneticPr fontId="2" type="noConversion"/>
  </si>
  <si>
    <t>증감</t>
    <phoneticPr fontId="2" type="noConversion"/>
  </si>
  <si>
    <t>화정청소년카페</t>
    <phoneticPr fontId="2" type="noConversion"/>
  </si>
  <si>
    <t>700 사업비용</t>
    <phoneticPr fontId="2" type="noConversion"/>
  </si>
  <si>
    <t>710 영업비용</t>
    <phoneticPr fontId="2" type="noConversion"/>
  </si>
  <si>
    <t>101 급여</t>
    <phoneticPr fontId="2" type="noConversion"/>
  </si>
  <si>
    <t>ㅇ기본급</t>
    <phoneticPr fontId="2" type="noConversion"/>
  </si>
  <si>
    <t>- 센터장</t>
    <phoneticPr fontId="2" type="noConversion"/>
  </si>
  <si>
    <t>- 팀장</t>
    <phoneticPr fontId="2" type="noConversion"/>
  </si>
  <si>
    <t xml:space="preserve">× </t>
    <phoneticPr fontId="2" type="noConversion"/>
  </si>
  <si>
    <t>- 사원</t>
    <phoneticPr fontId="2" type="noConversion"/>
  </si>
  <si>
    <t>- 사원</t>
    <phoneticPr fontId="2" type="noConversion"/>
  </si>
  <si>
    <t>- 정액급식비</t>
    <phoneticPr fontId="2" type="noConversion"/>
  </si>
  <si>
    <t>- 사원급식비</t>
    <phoneticPr fontId="2" type="noConversion"/>
  </si>
  <si>
    <t>- 청소년지도사</t>
    <phoneticPr fontId="2" type="noConversion"/>
  </si>
  <si>
    <t xml:space="preserve"> - 시간외및당직근무수당</t>
    <phoneticPr fontId="2" type="noConversion"/>
  </si>
  <si>
    <t>=</t>
    <phoneticPr fontId="2" type="noConversion"/>
  </si>
  <si>
    <t>- 센터장</t>
    <phoneticPr fontId="2" type="noConversion"/>
  </si>
  <si>
    <t>- 팀장</t>
    <phoneticPr fontId="2" type="noConversion"/>
  </si>
  <si>
    <t>- 사원</t>
    <phoneticPr fontId="2" type="noConversion"/>
  </si>
  <si>
    <t>­ 기본운영비</t>
    <phoneticPr fontId="2" type="noConversion"/>
  </si>
  <si>
    <t>ㅇ발송비</t>
    <phoneticPr fontId="2" type="noConversion"/>
  </si>
  <si>
    <t>­ 우편물,택배 발송비</t>
    <phoneticPr fontId="2" type="noConversion"/>
  </si>
  <si>
    <t>ㅇ통신비</t>
    <phoneticPr fontId="2" type="noConversion"/>
  </si>
  <si>
    <t xml:space="preserve">  - 홈페이지 관리비</t>
    <phoneticPr fontId="2" type="noConversion"/>
  </si>
  <si>
    <t xml:space="preserve">  - 보안월정료</t>
    <phoneticPr fontId="2" type="noConversion"/>
  </si>
  <si>
    <t xml:space="preserve">  - 복합기 임차료</t>
    <phoneticPr fontId="2" type="noConversion"/>
  </si>
  <si>
    <t xml:space="preserve">  - 청소용역비</t>
    <phoneticPr fontId="2" type="noConversion"/>
  </si>
  <si>
    <t xml:space="preserve">  - 공기청정기 3대 임차료</t>
    <phoneticPr fontId="2" type="noConversion"/>
  </si>
  <si>
    <t xml:space="preserve">  - 포스 임차료</t>
    <phoneticPr fontId="2" type="noConversion"/>
  </si>
  <si>
    <t>ㅇ공간유지보수비</t>
    <phoneticPr fontId="2" type="noConversion"/>
  </si>
  <si>
    <t>­ 노후시설정비</t>
    <phoneticPr fontId="2" type="noConversion"/>
  </si>
  <si>
    <t>­ 냉난방기 추가 설치비</t>
    <phoneticPr fontId="2" type="noConversion"/>
  </si>
  <si>
    <t>- 일반화재보험</t>
    <phoneticPr fontId="2" type="noConversion"/>
  </si>
  <si>
    <t>- 영업배상책임</t>
    <phoneticPr fontId="2" type="noConversion"/>
  </si>
  <si>
    <t>- 다중화재보험</t>
    <phoneticPr fontId="2" type="noConversion"/>
  </si>
  <si>
    <t>- 신원보증보험</t>
    <phoneticPr fontId="2" type="noConversion"/>
  </si>
  <si>
    <t>722-1 청소년사업비</t>
    <phoneticPr fontId="2" type="noConversion"/>
  </si>
  <si>
    <t>105 기간제근로자보수</t>
    <phoneticPr fontId="2" type="noConversion"/>
  </si>
  <si>
    <t>ㅇ단시간제인건비</t>
    <phoneticPr fontId="2" type="noConversion"/>
  </si>
  <si>
    <t>­ 주휴수당</t>
    <phoneticPr fontId="2" type="noConversion"/>
  </si>
  <si>
    <t>­ 국민연금부담금</t>
    <phoneticPr fontId="2" type="noConversion"/>
  </si>
  <si>
    <t>ㅇ제세공과금</t>
    <phoneticPr fontId="2" type="noConversion"/>
  </si>
  <si>
    <t>­ 부가가치세</t>
    <phoneticPr fontId="2" type="noConversion"/>
  </si>
  <si>
    <t>217 재료비기타</t>
    <phoneticPr fontId="2" type="noConversion"/>
  </si>
  <si>
    <t>ㅇ재료비기타</t>
    <phoneticPr fontId="2" type="noConversion"/>
  </si>
  <si>
    <t>­ 카페재료비</t>
    <phoneticPr fontId="2" type="noConversion"/>
  </si>
  <si>
    <t>2018년 세입예산서(안)</t>
    <phoneticPr fontId="2" type="noConversion"/>
  </si>
  <si>
    <t>[일반회계]</t>
    <phoneticPr fontId="2" type="noConversion"/>
  </si>
  <si>
    <t>=</t>
    <phoneticPr fontId="2" type="noConversion"/>
  </si>
  <si>
    <t>620 영업외수익</t>
    <phoneticPr fontId="2" type="noConversion"/>
  </si>
  <si>
    <t>621 이자수익</t>
    <phoneticPr fontId="2" type="noConversion"/>
  </si>
  <si>
    <t>­ 예금이자</t>
    <phoneticPr fontId="2" type="noConversion"/>
  </si>
  <si>
    <t>623 보조금수익</t>
    <phoneticPr fontId="2" type="noConversion"/>
  </si>
  <si>
    <t>101 급여</t>
    <phoneticPr fontId="2" type="noConversion"/>
  </si>
  <si>
    <t>ㅇ시간외/당직근무수당</t>
    <phoneticPr fontId="2" type="noConversion"/>
  </si>
  <si>
    <t>ㅇ여비</t>
    <phoneticPr fontId="2" type="noConversion"/>
  </si>
  <si>
    <t>ㅇ협회비및부담금</t>
    <phoneticPr fontId="2" type="noConversion"/>
  </si>
  <si>
    <t>­  전기요금</t>
    <phoneticPr fontId="2" type="noConversion"/>
  </si>
  <si>
    <t>ㅇ소모성비품비</t>
    <phoneticPr fontId="2" type="noConversion"/>
  </si>
  <si>
    <t>ㅇ컨텐츠구입비</t>
    <phoneticPr fontId="2" type="noConversion"/>
  </si>
  <si>
    <t>ㅇ시설비품비</t>
    <phoneticPr fontId="2" type="noConversion"/>
  </si>
  <si>
    <t>­ 도서인쇄비</t>
    <phoneticPr fontId="2" type="noConversion"/>
  </si>
  <si>
    <t>­ 북카페임차료</t>
    <phoneticPr fontId="2" type="noConversion"/>
  </si>
  <si>
    <t>ㅇ수선유지비</t>
    <phoneticPr fontId="2" type="noConversion"/>
  </si>
  <si>
    <t xml:space="preserve">   - 회계보증보험료</t>
    <phoneticPr fontId="2" type="noConversion"/>
  </si>
  <si>
    <t>x</t>
    <phoneticPr fontId="2" type="noConversion"/>
  </si>
  <si>
    <t>­ 화재보험료</t>
    <phoneticPr fontId="2" type="noConversion"/>
  </si>
  <si>
    <t>­ 문화활동비</t>
    <phoneticPr fontId="2" type="noConversion"/>
  </si>
  <si>
    <t>ㅇ위탁교육비</t>
    <phoneticPr fontId="2" type="noConversion"/>
  </si>
  <si>
    <t>­ 직원보수교육</t>
    <phoneticPr fontId="2" type="noConversion"/>
  </si>
  <si>
    <t>218 행사홍보비</t>
    <phoneticPr fontId="2" type="noConversion"/>
  </si>
  <si>
    <t>­ 홍보책자 등</t>
    <phoneticPr fontId="2" type="noConversion"/>
  </si>
  <si>
    <t>ㅇ회의운영비</t>
    <phoneticPr fontId="2" type="noConversion"/>
  </si>
  <si>
    <t>732 민간사업비</t>
    <phoneticPr fontId="2" type="noConversion"/>
  </si>
  <si>
    <t>ㅇ단시간제인건비</t>
    <phoneticPr fontId="2" type="noConversion"/>
  </si>
  <si>
    <t>­ 북카페</t>
    <phoneticPr fontId="2" type="noConversion"/>
  </si>
  <si>
    <t>2018년 세입예산서(안)</t>
    <phoneticPr fontId="2" type="noConversion"/>
  </si>
  <si>
    <t>산출내역</t>
    <phoneticPr fontId="2" type="noConversion"/>
  </si>
  <si>
    <t>610 영업수익</t>
    <phoneticPr fontId="2" type="noConversion"/>
  </si>
  <si>
    <t>618-1 상품판매수익</t>
    <phoneticPr fontId="2" type="noConversion"/>
  </si>
  <si>
    <t>ㅇ북카페운영</t>
    <phoneticPr fontId="2" type="noConversion"/>
  </si>
  <si>
    <t>623 보조금수익</t>
    <phoneticPr fontId="2" type="noConversion"/>
  </si>
  <si>
    <t>ㅇ인건비</t>
    <phoneticPr fontId="2" type="noConversion"/>
  </si>
  <si>
    <t>- 청소년지도전문</t>
    <phoneticPr fontId="2" type="noConversion"/>
  </si>
  <si>
    <t>- 까페운영담당</t>
    <phoneticPr fontId="2" type="noConversion"/>
  </si>
  <si>
    <t>- 토요운영</t>
    <phoneticPr fontId="2" type="noConversion"/>
  </si>
  <si>
    <t>204 수도광열비</t>
    <phoneticPr fontId="2" type="noConversion"/>
  </si>
  <si>
    <t>ㅇ수도광열비</t>
    <phoneticPr fontId="2" type="noConversion"/>
  </si>
  <si>
    <t>- 임차료</t>
    <phoneticPr fontId="2" type="noConversion"/>
  </si>
  <si>
    <t>- 정수기임차료</t>
    <phoneticPr fontId="2" type="noConversion"/>
  </si>
  <si>
    <t>- 공기청정기임차료</t>
    <phoneticPr fontId="2" type="noConversion"/>
  </si>
  <si>
    <t>210 수선유지비</t>
    <phoneticPr fontId="2" type="noConversion"/>
  </si>
  <si>
    <t>- 철도공사통신회선보수비</t>
    <phoneticPr fontId="2" type="noConversion"/>
  </si>
  <si>
    <t>- 철도공사시설유지관리비</t>
    <phoneticPr fontId="2" type="noConversion"/>
  </si>
  <si>
    <t>- 시설유지보수비</t>
    <phoneticPr fontId="2" type="noConversion"/>
  </si>
  <si>
    <t>ㅇ락존운영비</t>
    <phoneticPr fontId="2" type="noConversion"/>
  </si>
  <si>
    <t>­ 락존구축</t>
    <phoneticPr fontId="2" type="noConversion"/>
  </si>
  <si>
    <t>- 락존유지보수</t>
    <phoneticPr fontId="2" type="noConversion"/>
  </si>
  <si>
    <t>­ 회계보증보험료</t>
    <phoneticPr fontId="2" type="noConversion"/>
  </si>
  <si>
    <t>ㅇ홍보비</t>
    <phoneticPr fontId="2" type="noConversion"/>
  </si>
  <si>
    <t>­ 문자발송 및 회원관리</t>
    <phoneticPr fontId="2" type="noConversion"/>
  </si>
  <si>
    <t>- 소식지 및 홍보물제작</t>
    <phoneticPr fontId="2" type="noConversion"/>
  </si>
  <si>
    <t>ㅇ자치프로그램</t>
    <phoneticPr fontId="2" type="noConversion"/>
  </si>
  <si>
    <t>- 동아리운영비</t>
    <phoneticPr fontId="2" type="noConversion"/>
  </si>
  <si>
    <t>- 청소년운영위원회</t>
    <phoneticPr fontId="2" type="noConversion"/>
  </si>
  <si>
    <t>- 체험프로그램진행비</t>
    <phoneticPr fontId="2" type="noConversion"/>
  </si>
  <si>
    <t>- 청소년멘토활동비</t>
    <phoneticPr fontId="2" type="noConversion"/>
  </si>
  <si>
    <t>ㅇ셀프바운영비</t>
    <phoneticPr fontId="2" type="noConversion"/>
  </si>
  <si>
    <t>­ 셀프바운영</t>
    <phoneticPr fontId="2" type="noConversion"/>
  </si>
  <si>
    <t>- 셀프바자재구입</t>
    <phoneticPr fontId="2" type="noConversion"/>
  </si>
  <si>
    <t>­ 식대</t>
    <phoneticPr fontId="2" type="noConversion"/>
  </si>
  <si>
    <t>­ 카페재료비</t>
    <phoneticPr fontId="2" type="noConversion"/>
  </si>
  <si>
    <t>2018년 예산액(A)</t>
    <phoneticPr fontId="2" type="noConversion"/>
  </si>
  <si>
    <t>2017년예산액(B)</t>
    <phoneticPr fontId="2" type="noConversion"/>
  </si>
  <si>
    <t>2018년예산액(A)</t>
    <phoneticPr fontId="7" type="noConversion"/>
  </si>
  <si>
    <t>2017년예산액(B)</t>
    <phoneticPr fontId="7" type="noConversion"/>
  </si>
  <si>
    <t>2017년예산액(B)</t>
    <phoneticPr fontId="7" type="noConversion"/>
  </si>
  <si>
    <t>2017년예산액(B)</t>
    <phoneticPr fontId="7" type="noConversion"/>
  </si>
  <si>
    <t>사무국</t>
  </si>
  <si>
    <t>성사청소년문화의집</t>
  </si>
  <si>
    <t>탄현청소년문화의집</t>
  </si>
  <si>
    <t>토당청소년수련관</t>
  </si>
  <si>
    <t>고양시청소년상담복지센터</t>
  </si>
  <si>
    <t>화정청소년카페</t>
  </si>
  <si>
    <t>고양시청소년진로센터</t>
  </si>
  <si>
    <t>화정청소년카페</t>
    <phoneticPr fontId="2" type="noConversion"/>
  </si>
  <si>
    <t>­ SMS 전송비</t>
    <phoneticPr fontId="2" type="noConversion"/>
  </si>
  <si>
    <t>722-2 지역사회 네트워킹</t>
    <phoneticPr fontId="7" type="noConversion"/>
  </si>
  <si>
    <t>ㅇ고양시청소년홍보사업</t>
    <phoneticPr fontId="2" type="noConversion"/>
  </si>
  <si>
    <t>ㅇ고양시지역네트워크사업</t>
    <phoneticPr fontId="2" type="noConversion"/>
  </si>
  <si>
    <t>ㅇ고양시청소년정책기획</t>
    <phoneticPr fontId="2" type="noConversion"/>
  </si>
  <si>
    <t>722-2 청소년문화사업</t>
    <phoneticPr fontId="2" type="noConversion"/>
  </si>
  <si>
    <t>621-1 예금이자수익</t>
    <phoneticPr fontId="2" type="noConversion"/>
  </si>
  <si>
    <t>­ 예금이자</t>
    <phoneticPr fontId="2" type="noConversion"/>
  </si>
  <si>
    <t xml:space="preserve">× </t>
    <phoneticPr fontId="2" type="noConversion"/>
  </si>
  <si>
    <t>ㅇ이자반환금(과년도)</t>
    <phoneticPr fontId="2" type="noConversion"/>
  </si>
  <si>
    <t>ㅇ차기년도이월금</t>
    <phoneticPr fontId="2" type="noConversion"/>
  </si>
  <si>
    <t>­ 이월금</t>
    <phoneticPr fontId="2" type="noConversion"/>
  </si>
  <si>
    <t>755-4 기타영업외비용</t>
    <phoneticPr fontId="2" type="noConversion"/>
  </si>
  <si>
    <t>- 관장</t>
    <phoneticPr fontId="2" type="noConversion"/>
  </si>
  <si>
    <t>- 부관장</t>
    <phoneticPr fontId="2" type="noConversion"/>
  </si>
  <si>
    <t>- 직원</t>
    <phoneticPr fontId="2" type="noConversion"/>
  </si>
  <si>
    <t>1식</t>
    <phoneticPr fontId="2" type="noConversion"/>
  </si>
  <si>
    <t>212 보험료</t>
    <phoneticPr fontId="2" type="noConversion"/>
  </si>
  <si>
    <t>2018년 세입예산서(안)</t>
    <phoneticPr fontId="2" type="noConversion"/>
  </si>
  <si>
    <t>[일반회계]</t>
    <phoneticPr fontId="2" type="noConversion"/>
  </si>
  <si>
    <t>(단위:천원)</t>
    <phoneticPr fontId="2" type="noConversion"/>
  </si>
  <si>
    <t>600 사업수익</t>
    <phoneticPr fontId="2" type="noConversion"/>
  </si>
  <si>
    <t>610 영업수익</t>
    <phoneticPr fontId="2" type="noConversion"/>
  </si>
  <si>
    <t>611 자체사업수익</t>
    <phoneticPr fontId="2" type="noConversion"/>
  </si>
  <si>
    <t>611-1 사업운영수익</t>
    <phoneticPr fontId="2" type="noConversion"/>
  </si>
  <si>
    <t>ㅇ별빛학당</t>
    <phoneticPr fontId="2" type="noConversion"/>
  </si>
  <si>
    <t>­ 청소년 GX</t>
    <phoneticPr fontId="2" type="noConversion"/>
  </si>
  <si>
    <t xml:space="preserve">× </t>
    <phoneticPr fontId="2" type="noConversion"/>
  </si>
  <si>
    <t>=</t>
    <phoneticPr fontId="2" type="noConversion"/>
  </si>
  <si>
    <t>­ 청소년 문화예술</t>
    <phoneticPr fontId="2" type="noConversion"/>
  </si>
  <si>
    <t>­ 청소년 여가취미</t>
    <phoneticPr fontId="2" type="noConversion"/>
  </si>
  <si>
    <t>­ 청소년 방학특강</t>
    <phoneticPr fontId="2" type="noConversion"/>
  </si>
  <si>
    <t>­ 성인 여가취미</t>
    <phoneticPr fontId="2" type="noConversion"/>
  </si>
  <si>
    <t>611-2 참가금수익</t>
    <phoneticPr fontId="2" type="noConversion"/>
  </si>
  <si>
    <t>참가금수익</t>
    <phoneticPr fontId="2" type="noConversion"/>
  </si>
  <si>
    <t xml:space="preserve">ㅇ 프로그램 참가비 </t>
    <phoneticPr fontId="2" type="noConversion"/>
  </si>
  <si>
    <t>=</t>
    <phoneticPr fontId="2" type="noConversion"/>
  </si>
  <si>
    <t>ㅇ 국제청소년활동 참가비</t>
    <phoneticPr fontId="2" type="noConversion"/>
  </si>
  <si>
    <t>617 기타영업수익</t>
    <phoneticPr fontId="2" type="noConversion"/>
  </si>
  <si>
    <t>617-1 시설사용료수익</t>
    <phoneticPr fontId="2" type="noConversion"/>
  </si>
  <si>
    <t>ㅇ시설사용료수익</t>
    <phoneticPr fontId="2" type="noConversion"/>
  </si>
  <si>
    <t>­ 노래방사용료</t>
    <phoneticPr fontId="2" type="noConversion"/>
  </si>
  <si>
    <t>617-3 기타수수료수입</t>
    <phoneticPr fontId="2" type="noConversion"/>
  </si>
  <si>
    <t>621 이자수익</t>
    <phoneticPr fontId="2" type="noConversion"/>
  </si>
  <si>
    <t>621-1 예금이자수익</t>
    <phoneticPr fontId="2" type="noConversion"/>
  </si>
  <si>
    <t>ㅇ예금이자수익</t>
    <phoneticPr fontId="2" type="noConversion"/>
  </si>
  <si>
    <t>­ 예금이자</t>
    <phoneticPr fontId="2" type="noConversion"/>
  </si>
  <si>
    <t>623-1 국도시비보조금</t>
    <phoneticPr fontId="2" type="noConversion"/>
  </si>
  <si>
    <t>625 출자출연금수익</t>
    <phoneticPr fontId="2" type="noConversion"/>
  </si>
  <si>
    <t>625-2 지자체출자출연금</t>
    <phoneticPr fontId="2" type="noConversion"/>
  </si>
  <si>
    <t>ㅇ 고양시지원금</t>
    <phoneticPr fontId="7" type="noConversion"/>
  </si>
  <si>
    <t>­ 탄현지원금</t>
    <phoneticPr fontId="7" type="noConversion"/>
  </si>
  <si>
    <t xml:space="preserve">× </t>
    <phoneticPr fontId="2" type="noConversion"/>
  </si>
  <si>
    <t>100 자본적수입</t>
    <phoneticPr fontId="2" type="noConversion"/>
  </si>
  <si>
    <t>170 자본잉여금수입</t>
    <phoneticPr fontId="2" type="noConversion"/>
  </si>
  <si>
    <t>172 이월금</t>
    <phoneticPr fontId="2" type="noConversion"/>
  </si>
  <si>
    <t>172-3 전년도이월사업비</t>
    <phoneticPr fontId="2" type="noConversion"/>
  </si>
  <si>
    <t>ㅇ전년도이월금</t>
    <phoneticPr fontId="2" type="noConversion"/>
  </si>
  <si>
    <t xml:space="preserve">­ 2017년수익이월금 </t>
    <phoneticPr fontId="2" type="noConversion"/>
  </si>
  <si>
    <t>2018년 세출예산서(안)</t>
    <phoneticPr fontId="2" type="noConversion"/>
  </si>
  <si>
    <t>[일반회계]</t>
    <phoneticPr fontId="2" type="noConversion"/>
  </si>
  <si>
    <t>(단위:천원)</t>
    <phoneticPr fontId="2" type="noConversion"/>
  </si>
  <si>
    <t>탄현청소년문화의집</t>
    <phoneticPr fontId="2" type="noConversion"/>
  </si>
  <si>
    <t>700 사업비용</t>
    <phoneticPr fontId="2" type="noConversion"/>
  </si>
  <si>
    <t>710 영업비용</t>
    <phoneticPr fontId="2" type="noConversion"/>
  </si>
  <si>
    <t>100 인건비</t>
    <phoneticPr fontId="2" type="noConversion"/>
  </si>
  <si>
    <t>101 급여</t>
    <phoneticPr fontId="2" type="noConversion"/>
  </si>
  <si>
    <t>ㅇ기본급</t>
    <phoneticPr fontId="2" type="noConversion"/>
  </si>
  <si>
    <t>- 사원(7급)</t>
    <phoneticPr fontId="2" type="noConversion"/>
  </si>
  <si>
    <t xml:space="preserve">× </t>
    <phoneticPr fontId="2" type="noConversion"/>
  </si>
  <si>
    <t>=</t>
    <phoneticPr fontId="2" type="noConversion"/>
  </si>
  <si>
    <t>102 제수당</t>
    <phoneticPr fontId="2" type="noConversion"/>
  </si>
  <si>
    <t>ㅇ직급보조비</t>
    <phoneticPr fontId="2" type="noConversion"/>
  </si>
  <si>
    <t>ㅇ가족수당</t>
    <phoneticPr fontId="2" type="noConversion"/>
  </si>
  <si>
    <t xml:space="preserve">   · 부양가족</t>
    <phoneticPr fontId="2" type="noConversion"/>
  </si>
  <si>
    <t>ㅇ급량비</t>
    <phoneticPr fontId="2" type="noConversion"/>
  </si>
  <si>
    <t>- 정액급식비</t>
    <phoneticPr fontId="2" type="noConversion"/>
  </si>
  <si>
    <t>ㅇ자격수당</t>
    <phoneticPr fontId="2" type="noConversion"/>
  </si>
  <si>
    <t>- 청소년지도사</t>
    <phoneticPr fontId="2" type="noConversion"/>
  </si>
  <si>
    <t>ㅇ시간외/당직근무수당</t>
    <phoneticPr fontId="2" type="noConversion"/>
  </si>
  <si>
    <t xml:space="preserve"> - 시간외및당직근무수당</t>
    <phoneticPr fontId="2" type="noConversion"/>
  </si>
  <si>
    <t>ㅇ정근수당</t>
    <phoneticPr fontId="2" type="noConversion"/>
  </si>
  <si>
    <t>ㅇ정근수당가산금</t>
    <phoneticPr fontId="2" type="noConversion"/>
  </si>
  <si>
    <t>- 5년 이상</t>
    <phoneticPr fontId="2" type="noConversion"/>
  </si>
  <si>
    <t>- 10년 이상</t>
    <phoneticPr fontId="2" type="noConversion"/>
  </si>
  <si>
    <t>- 15년 이상</t>
    <phoneticPr fontId="2" type="noConversion"/>
  </si>
  <si>
    <t>ㅇ명절휴가비</t>
    <phoneticPr fontId="2" type="noConversion"/>
  </si>
  <si>
    <t>- 사원(7급)</t>
    <phoneticPr fontId="2" type="noConversion"/>
  </si>
  <si>
    <t>ㅇ연가보상비</t>
    <phoneticPr fontId="2" type="noConversion"/>
  </si>
  <si>
    <t>- 연가보상비</t>
    <phoneticPr fontId="2" type="noConversion"/>
  </si>
  <si>
    <t>104 무기계약근로자보수</t>
    <phoneticPr fontId="2" type="noConversion"/>
  </si>
  <si>
    <t>ㅇ무기계약근로자 보수</t>
    <phoneticPr fontId="2" type="noConversion"/>
  </si>
  <si>
    <t>­ 무기계약근로자 보수</t>
    <phoneticPr fontId="2" type="noConversion"/>
  </si>
  <si>
    <t>106 퇴직급여</t>
    <phoneticPr fontId="2" type="noConversion"/>
  </si>
  <si>
    <t>ㅇ퇴직급여충당금</t>
    <phoneticPr fontId="2" type="noConversion"/>
  </si>
  <si>
    <t>­ 퇴직급여충당금</t>
    <phoneticPr fontId="2" type="noConversion"/>
  </si>
  <si>
    <t>200 경비</t>
    <phoneticPr fontId="2" type="noConversion"/>
  </si>
  <si>
    <t>201 복리후생비</t>
    <phoneticPr fontId="2" type="noConversion"/>
  </si>
  <si>
    <t>ㅇ사회4대보험</t>
    <phoneticPr fontId="2" type="noConversion"/>
  </si>
  <si>
    <t>­ 국민연금부담금</t>
    <phoneticPr fontId="2" type="noConversion"/>
  </si>
  <si>
    <t>­ 국민건강보험부담금</t>
    <phoneticPr fontId="2" type="noConversion"/>
  </si>
  <si>
    <t>­ 장기요양보험부담금</t>
    <phoneticPr fontId="2" type="noConversion"/>
  </si>
  <si>
    <t>­ 고용보험부담금</t>
    <phoneticPr fontId="2" type="noConversion"/>
  </si>
  <si>
    <t>­ 산재보험부담금</t>
    <phoneticPr fontId="2" type="noConversion"/>
  </si>
  <si>
    <t>203 공공요금 및 제세</t>
    <phoneticPr fontId="2" type="noConversion"/>
  </si>
  <si>
    <t>ㅇ발송비</t>
    <phoneticPr fontId="2" type="noConversion"/>
  </si>
  <si>
    <t>­ 우편물,택배 발송비</t>
    <phoneticPr fontId="2" type="noConversion"/>
  </si>
  <si>
    <t>ㅇ통신비</t>
    <phoneticPr fontId="2" type="noConversion"/>
  </si>
  <si>
    <t>­ 전화 인터넷 사용료</t>
    <phoneticPr fontId="2" type="noConversion"/>
  </si>
  <si>
    <t>ㅇ협회비및부담금</t>
    <phoneticPr fontId="2" type="noConversion"/>
  </si>
  <si>
    <t>­ 청소년시설협회비</t>
    <phoneticPr fontId="2" type="noConversion"/>
  </si>
  <si>
    <t>ㅇ제세공과금</t>
    <phoneticPr fontId="2" type="noConversion"/>
  </si>
  <si>
    <t>­ 부가가치세</t>
    <phoneticPr fontId="2" type="noConversion"/>
  </si>
  <si>
    <t>­ 각종세금</t>
    <phoneticPr fontId="2" type="noConversion"/>
  </si>
  <si>
    <t>204 수도광열비</t>
    <phoneticPr fontId="2" type="noConversion"/>
  </si>
  <si>
    <t>­  전기요금</t>
    <phoneticPr fontId="2" type="noConversion"/>
  </si>
  <si>
    <t>206 소모품비</t>
    <phoneticPr fontId="2" type="noConversion"/>
  </si>
  <si>
    <t>­ 사무용품비</t>
    <phoneticPr fontId="2" type="noConversion"/>
  </si>
  <si>
    <t>­ 복사용지</t>
    <phoneticPr fontId="2" type="noConversion"/>
  </si>
  <si>
    <t>ㅇ청소용품비</t>
    <phoneticPr fontId="2" type="noConversion"/>
  </si>
  <si>
    <t>ㅇ약품구입비</t>
    <phoneticPr fontId="2" type="noConversion"/>
  </si>
  <si>
    <t>­ 비상약품</t>
    <phoneticPr fontId="2" type="noConversion"/>
  </si>
  <si>
    <t>213 지급수수료</t>
    <phoneticPr fontId="2" type="noConversion"/>
  </si>
  <si>
    <t>720 청소년사업비</t>
    <phoneticPr fontId="2" type="noConversion"/>
  </si>
  <si>
    <t>ㅇ사업명</t>
    <phoneticPr fontId="7" type="noConversion"/>
  </si>
  <si>
    <t xml:space="preserve">­ </t>
    <phoneticPr fontId="2" type="noConversion"/>
  </si>
  <si>
    <t>ㅇ사업명</t>
    <phoneticPr fontId="7" type="noConversion"/>
  </si>
  <si>
    <t>721-2 경기도교육청사업비</t>
    <phoneticPr fontId="2" type="noConversion"/>
  </si>
  <si>
    <t>­ 공모사업지원금</t>
    <phoneticPr fontId="7" type="noConversion"/>
  </si>
  <si>
    <t>722 목적사업비</t>
    <phoneticPr fontId="2" type="noConversion"/>
  </si>
  <si>
    <t>ㅇ 민주시민 역량강화</t>
    <phoneticPr fontId="2" type="noConversion"/>
  </si>
  <si>
    <t>­ 청(소년 회)담</t>
    <phoneticPr fontId="2" type="noConversion"/>
  </si>
  <si>
    <t>- SDGs in Action</t>
    <phoneticPr fontId="2" type="noConversion"/>
  </si>
  <si>
    <t>ㅇ참여를 통한 권리증진</t>
    <phoneticPr fontId="2" type="noConversion"/>
  </si>
  <si>
    <t>- 청소년운영위원회</t>
    <phoneticPr fontId="2" type="noConversion"/>
  </si>
  <si>
    <t>- 청소년동아리</t>
    <phoneticPr fontId="2" type="noConversion"/>
  </si>
  <si>
    <t>- 청소년자치조직연합회</t>
    <phoneticPr fontId="2" type="noConversion"/>
  </si>
  <si>
    <t>ㅇ청소년활동의 세계화</t>
    <phoneticPr fontId="2" type="noConversion"/>
  </si>
  <si>
    <t>- 세계문화 체험</t>
    <phoneticPr fontId="2" type="noConversion"/>
  </si>
  <si>
    <t>- 글로벌NGO활동가</t>
    <phoneticPr fontId="2" type="noConversion"/>
  </si>
  <si>
    <t>ㅇ다양한 경험을 통한 성장지원</t>
    <phoneticPr fontId="2" type="noConversion"/>
  </si>
  <si>
    <t>- 청소년자원봉사</t>
    <phoneticPr fontId="2" type="noConversion"/>
  </si>
  <si>
    <t>- 문화가 있는 날</t>
    <phoneticPr fontId="2" type="noConversion"/>
  </si>
  <si>
    <t>ㅇ 만성적 위협 제거</t>
    <phoneticPr fontId="2" type="noConversion"/>
  </si>
  <si>
    <t>­ 성인(부모)교육</t>
    <phoneticPr fontId="2" type="noConversion"/>
  </si>
  <si>
    <t>- 청소년인권증진프로그램</t>
    <phoneticPr fontId="2" type="noConversion"/>
  </si>
  <si>
    <t>ㅇ일상생활 안전사고 예방</t>
    <phoneticPr fontId="2" type="noConversion"/>
  </si>
  <si>
    <t>- 청소년안전교육</t>
    <phoneticPr fontId="2" type="noConversion"/>
  </si>
  <si>
    <t>ㅇ안전한 청소년활동 공간조성</t>
    <phoneticPr fontId="2" type="noConversion"/>
  </si>
  <si>
    <t>- 지은이</t>
    <phoneticPr fontId="2" type="noConversion"/>
  </si>
  <si>
    <t>ㅇ지역사회 지원체계 확대</t>
    <phoneticPr fontId="2" type="noConversion"/>
  </si>
  <si>
    <t>- 청년서포터즈</t>
    <phoneticPr fontId="2" type="noConversion"/>
  </si>
  <si>
    <t>- 시설운영자문회의</t>
    <phoneticPr fontId="2" type="noConversion"/>
  </si>
  <si>
    <t>730 자체사업비</t>
    <phoneticPr fontId="2" type="noConversion"/>
  </si>
  <si>
    <t>731 직영사업비</t>
    <phoneticPr fontId="2" type="noConversion"/>
  </si>
  <si>
    <t>201 복리후생비</t>
    <phoneticPr fontId="2" type="noConversion"/>
  </si>
  <si>
    <t>ㅇ직원복지</t>
    <phoneticPr fontId="2" type="noConversion"/>
  </si>
  <si>
    <t>­ 직원종합건강검진</t>
    <phoneticPr fontId="2" type="noConversion"/>
  </si>
  <si>
    <t>­ 선택적복지제도</t>
    <phoneticPr fontId="2" type="noConversion"/>
  </si>
  <si>
    <t>202 여비</t>
    <phoneticPr fontId="2" type="noConversion"/>
  </si>
  <si>
    <t>ㅇ여비</t>
    <phoneticPr fontId="2" type="noConversion"/>
  </si>
  <si>
    <t>­ 국내여비</t>
    <phoneticPr fontId="2" type="noConversion"/>
  </si>
  <si>
    <t>­ 국외여비</t>
    <phoneticPr fontId="2" type="noConversion"/>
  </si>
  <si>
    <t>206 소모품비</t>
    <phoneticPr fontId="2" type="noConversion"/>
  </si>
  <si>
    <t>207 피복비</t>
    <phoneticPr fontId="2" type="noConversion"/>
  </si>
  <si>
    <t>ㅇ피복비</t>
    <phoneticPr fontId="2" type="noConversion"/>
  </si>
  <si>
    <t>208 도서인쇄비</t>
    <phoneticPr fontId="2" type="noConversion"/>
  </si>
  <si>
    <t>ㅇ도서인쇄비</t>
    <phoneticPr fontId="2" type="noConversion"/>
  </si>
  <si>
    <t>209 지급임차료</t>
    <phoneticPr fontId="2" type="noConversion"/>
  </si>
  <si>
    <t>ㅇ지급임차료</t>
    <phoneticPr fontId="2" type="noConversion"/>
  </si>
  <si>
    <t>­ 복합기임차료</t>
    <phoneticPr fontId="2" type="noConversion"/>
  </si>
  <si>
    <t>­ 냉온정수기임차료</t>
    <phoneticPr fontId="2" type="noConversion"/>
  </si>
  <si>
    <t>210 수선유지비</t>
    <phoneticPr fontId="2" type="noConversion"/>
  </si>
  <si>
    <t>ㅇ수선유지비</t>
    <phoneticPr fontId="2" type="noConversion"/>
  </si>
  <si>
    <t>­ 기계냉난방기유지관리비</t>
    <phoneticPr fontId="2" type="noConversion"/>
  </si>
  <si>
    <t>­ 건축설비유지관리비</t>
    <phoneticPr fontId="2" type="noConversion"/>
  </si>
  <si>
    <t>­ PC유지관리비</t>
    <phoneticPr fontId="2" type="noConversion"/>
  </si>
  <si>
    <t>­ 통신시설유지관리비</t>
    <phoneticPr fontId="2" type="noConversion"/>
  </si>
  <si>
    <t>­ 소방유지관리비</t>
    <phoneticPr fontId="2" type="noConversion"/>
  </si>
  <si>
    <t>212 보험료</t>
    <phoneticPr fontId="2" type="noConversion"/>
  </si>
  <si>
    <t>ㅇ보험료</t>
    <phoneticPr fontId="2" type="noConversion"/>
  </si>
  <si>
    <t>­ 수련시설종합보험료</t>
    <phoneticPr fontId="2" type="noConversion"/>
  </si>
  <si>
    <t>­ 직원상해보험료</t>
    <phoneticPr fontId="2" type="noConversion"/>
  </si>
  <si>
    <t>.</t>
    <phoneticPr fontId="2" type="noConversion"/>
  </si>
  <si>
    <t>­ 이행보증보험</t>
    <phoneticPr fontId="2" type="noConversion"/>
  </si>
  <si>
    <t>ㅇ지급수수료</t>
    <phoneticPr fontId="2" type="noConversion"/>
  </si>
  <si>
    <t>­ 무인경비시스템유지관리비</t>
    <phoneticPr fontId="2" type="noConversion"/>
  </si>
  <si>
    <t>­ 각종수수료</t>
    <phoneticPr fontId="2" type="noConversion"/>
  </si>
  <si>
    <t>214 업무추진비</t>
    <phoneticPr fontId="2" type="noConversion"/>
  </si>
  <si>
    <t>ㅇ 업무추진비</t>
    <phoneticPr fontId="2" type="noConversion"/>
  </si>
  <si>
    <t>­ 기관운영업무추진비</t>
    <phoneticPr fontId="2" type="noConversion"/>
  </si>
  <si>
    <t>­ 시책추진업무추진비</t>
    <phoneticPr fontId="2" type="noConversion"/>
  </si>
  <si>
    <t>215 관서업무비</t>
    <phoneticPr fontId="2" type="noConversion"/>
  </si>
  <si>
    <t>ㅇ 관서업무비</t>
    <phoneticPr fontId="2" type="noConversion"/>
  </si>
  <si>
    <t>­ 부서운영업무추진비</t>
    <phoneticPr fontId="2" type="noConversion"/>
  </si>
  <si>
    <t>­ 정원가산업무추진비</t>
    <phoneticPr fontId="2" type="noConversion"/>
  </si>
  <si>
    <t>216 교육훈련비</t>
    <phoneticPr fontId="2" type="noConversion"/>
  </si>
  <si>
    <t>ㅇ교육훈련비</t>
    <phoneticPr fontId="2" type="noConversion"/>
  </si>
  <si>
    <t>­ 직원교육지원비</t>
    <phoneticPr fontId="2" type="noConversion"/>
  </si>
  <si>
    <t>ㅇ워크숍</t>
    <phoneticPr fontId="2" type="noConversion"/>
  </si>
  <si>
    <t>217 재료비기타</t>
    <phoneticPr fontId="2" type="noConversion"/>
  </si>
  <si>
    <t>ㅇ재료비기타</t>
    <phoneticPr fontId="2" type="noConversion"/>
  </si>
  <si>
    <t>­ 시설공구구입</t>
    <phoneticPr fontId="2" type="noConversion"/>
  </si>
  <si>
    <t>­ 시설재료구입</t>
    <phoneticPr fontId="2" type="noConversion"/>
  </si>
  <si>
    <t>­ 안전재료구입</t>
    <phoneticPr fontId="2" type="noConversion"/>
  </si>
  <si>
    <t>­ 기타 운영물품 구입</t>
    <phoneticPr fontId="2" type="noConversion"/>
  </si>
  <si>
    <t>218 행사홍보비</t>
    <phoneticPr fontId="2" type="noConversion"/>
  </si>
  <si>
    <t>405-1 자산취득비</t>
    <phoneticPr fontId="2" type="noConversion"/>
  </si>
  <si>
    <t>ㅇ별빛학당</t>
    <phoneticPr fontId="2" type="noConversion"/>
  </si>
  <si>
    <t>- 강사비</t>
    <phoneticPr fontId="2" type="noConversion"/>
  </si>
  <si>
    <t>- 강사 간담회</t>
    <phoneticPr fontId="2" type="noConversion"/>
  </si>
  <si>
    <t>- 감면혜택 지원비</t>
    <phoneticPr fontId="2" type="noConversion"/>
  </si>
  <si>
    <t>- 회원관리프로그램이용비</t>
    <phoneticPr fontId="2" type="noConversion"/>
  </si>
  <si>
    <t>- 카드수수료</t>
    <phoneticPr fontId="2" type="noConversion"/>
  </si>
  <si>
    <t>- 프로그램 운영 물품</t>
    <phoneticPr fontId="2" type="noConversion"/>
  </si>
  <si>
    <t>- 방학특강 재료비</t>
    <phoneticPr fontId="2" type="noConversion"/>
  </si>
  <si>
    <t>- 홍보비</t>
    <phoneticPr fontId="2" type="noConversion"/>
  </si>
  <si>
    <t>- SMS 발송비</t>
    <phoneticPr fontId="2" type="noConversion"/>
  </si>
  <si>
    <t>- 별빛학당 발표회</t>
    <phoneticPr fontId="2" type="noConversion"/>
  </si>
  <si>
    <t>ㅇ 지역사회 홍보 강화</t>
    <phoneticPr fontId="2" type="noConversion"/>
  </si>
  <si>
    <t>- 청소년홍보프로젝트</t>
    <phoneticPr fontId="2" type="noConversion"/>
  </si>
  <si>
    <t>- 탄현97-11프로젝트</t>
    <phoneticPr fontId="2" type="noConversion"/>
  </si>
  <si>
    <t>ㅇ지역사회 연계협력 확대</t>
    <phoneticPr fontId="2" type="noConversion"/>
  </si>
  <si>
    <t>- 탄현청소년축제</t>
    <phoneticPr fontId="2" type="noConversion"/>
  </si>
  <si>
    <t>- 지역특화사업</t>
    <phoneticPr fontId="2" type="noConversion"/>
  </si>
  <si>
    <t>ㅇ청소년데이터베이스 구축</t>
    <phoneticPr fontId="2" type="noConversion"/>
  </si>
  <si>
    <t>- 유라밸(Youth Life Balance)</t>
    <phoneticPr fontId="2" type="noConversion"/>
  </si>
  <si>
    <t>770 영업외비용</t>
    <phoneticPr fontId="2" type="noConversion"/>
  </si>
  <si>
    <t>775 기타영업외비용</t>
    <phoneticPr fontId="2" type="noConversion"/>
  </si>
  <si>
    <t>755-4 기타영업외비용</t>
    <phoneticPr fontId="2" type="noConversion"/>
  </si>
  <si>
    <t>ㅇ이자반환금(과년도)</t>
    <phoneticPr fontId="2" type="noConversion"/>
  </si>
  <si>
    <t>­ 예금이자</t>
    <phoneticPr fontId="2" type="noConversion"/>
  </si>
  <si>
    <t>ㅇ차기년도이월금</t>
    <phoneticPr fontId="2" type="noConversion"/>
  </si>
  <si>
    <t>­ 이월금</t>
    <phoneticPr fontId="2" type="noConversion"/>
  </si>
  <si>
    <t>800 예비비</t>
    <phoneticPr fontId="2" type="noConversion"/>
  </si>
  <si>
    <t>810 예비비</t>
    <phoneticPr fontId="2" type="noConversion"/>
  </si>
  <si>
    <t>810-1 예비비</t>
    <phoneticPr fontId="2" type="noConversion"/>
  </si>
  <si>
    <t>2018년 세입예산서(안)</t>
    <phoneticPr fontId="2" type="noConversion"/>
  </si>
  <si>
    <t>증감</t>
    <phoneticPr fontId="2" type="noConversion"/>
  </si>
  <si>
    <t>증감률</t>
    <phoneticPr fontId="2" type="noConversion"/>
  </si>
  <si>
    <t>장</t>
    <phoneticPr fontId="2" type="noConversion"/>
  </si>
  <si>
    <t>항</t>
    <phoneticPr fontId="2" type="noConversion"/>
  </si>
  <si>
    <t>목</t>
    <phoneticPr fontId="2" type="noConversion"/>
  </si>
  <si>
    <t>세세목</t>
    <phoneticPr fontId="2" type="noConversion"/>
  </si>
  <si>
    <t>일산서구청소년수련관</t>
    <phoneticPr fontId="2" type="noConversion"/>
  </si>
  <si>
    <t>600 사업수익</t>
    <phoneticPr fontId="2" type="noConversion"/>
  </si>
  <si>
    <t>610 영업수익</t>
    <phoneticPr fontId="2" type="noConversion"/>
  </si>
  <si>
    <t>ㅇ교육문화프로그램</t>
    <phoneticPr fontId="2" type="noConversion"/>
  </si>
  <si>
    <t xml:space="preserve"> - 기타교실 외 12강좌</t>
    <phoneticPr fontId="2" type="noConversion"/>
  </si>
  <si>
    <t xml:space="preserve">× </t>
    <phoneticPr fontId="2" type="noConversion"/>
  </si>
  <si>
    <t xml:space="preserve">× </t>
    <phoneticPr fontId="2" type="noConversion"/>
  </si>
  <si>
    <t>=</t>
    <phoneticPr fontId="2" type="noConversion"/>
  </si>
  <si>
    <t>ㅇG.X.프로그램</t>
    <phoneticPr fontId="2" type="noConversion"/>
  </si>
  <si>
    <t xml:space="preserve"> - 음악줄넘기 외 4강좌</t>
    <phoneticPr fontId="2" type="noConversion"/>
  </si>
  <si>
    <t>ㅇ휘트니스</t>
    <phoneticPr fontId="2" type="noConversion"/>
  </si>
  <si>
    <t>­ 휘트니스(성인)</t>
    <phoneticPr fontId="2" type="noConversion"/>
  </si>
  <si>
    <t>ㅇ놀토(놀라운토요일)학교</t>
    <phoneticPr fontId="2" type="noConversion"/>
  </si>
  <si>
    <t>611-2 참가금수익</t>
    <phoneticPr fontId="2" type="noConversion"/>
  </si>
  <si>
    <t>ㅇ청소년문화캠프</t>
    <phoneticPr fontId="2" type="noConversion"/>
  </si>
  <si>
    <t>ㅇ청소년글로벌캠프</t>
    <phoneticPr fontId="2" type="noConversion"/>
  </si>
  <si>
    <t>ㅇ국가간청소년교류캠프</t>
    <phoneticPr fontId="2" type="noConversion"/>
  </si>
  <si>
    <t>617 기타영업수익</t>
    <phoneticPr fontId="2" type="noConversion"/>
  </si>
  <si>
    <t>617-1 시설사용료수익</t>
    <phoneticPr fontId="2" type="noConversion"/>
  </si>
  <si>
    <t>617-3 기타수수료수입</t>
    <phoneticPr fontId="2" type="noConversion"/>
  </si>
  <si>
    <t>ㅇ부가가치세환급</t>
    <phoneticPr fontId="2" type="noConversion"/>
  </si>
  <si>
    <t>­ 부가세환급</t>
    <phoneticPr fontId="2" type="noConversion"/>
  </si>
  <si>
    <t>=</t>
    <phoneticPr fontId="2" type="noConversion"/>
  </si>
  <si>
    <t>­ 기타수입</t>
    <phoneticPr fontId="2" type="noConversion"/>
  </si>
  <si>
    <t>618 판매수익</t>
    <phoneticPr fontId="2" type="noConversion"/>
  </si>
  <si>
    <t>621 이자수익</t>
    <phoneticPr fontId="2" type="noConversion"/>
  </si>
  <si>
    <t>621-1 예금이자수익</t>
    <phoneticPr fontId="2" type="noConversion"/>
  </si>
  <si>
    <t>623-1 국도시비보조금</t>
    <phoneticPr fontId="2" type="noConversion"/>
  </si>
  <si>
    <t>­ 동아리지원</t>
    <phoneticPr fontId="7" type="noConversion"/>
  </si>
  <si>
    <t>623-1 경기도교육청</t>
    <phoneticPr fontId="2" type="noConversion"/>
  </si>
  <si>
    <t>ㅇ공모사업금</t>
    <phoneticPr fontId="7" type="noConversion"/>
  </si>
  <si>
    <t>­ 청소년활동</t>
    <phoneticPr fontId="7" type="noConversion"/>
  </si>
  <si>
    <t>625 출자출연금수익</t>
    <phoneticPr fontId="2" type="noConversion"/>
  </si>
  <si>
    <t>625-2 지자체출자출연금</t>
    <phoneticPr fontId="2" type="noConversion"/>
  </si>
  <si>
    <t>ㅇ고양시지원금</t>
    <phoneticPr fontId="2" type="noConversion"/>
  </si>
  <si>
    <t xml:space="preserve">× </t>
    <phoneticPr fontId="2" type="noConversion"/>
  </si>
  <si>
    <t>=</t>
    <phoneticPr fontId="2" type="noConversion"/>
  </si>
  <si>
    <t>2018년 세출예산서(안)</t>
    <phoneticPr fontId="2" type="noConversion"/>
  </si>
  <si>
    <t>[일반회계]</t>
    <phoneticPr fontId="2" type="noConversion"/>
  </si>
  <si>
    <t>(단위:천원)</t>
    <phoneticPr fontId="2" type="noConversion"/>
  </si>
  <si>
    <t>일산서구청소년수련관</t>
    <phoneticPr fontId="2" type="noConversion"/>
  </si>
  <si>
    <t>700 사업비용</t>
    <phoneticPr fontId="2" type="noConversion"/>
  </si>
  <si>
    <t>710 영업비용</t>
    <phoneticPr fontId="2" type="noConversion"/>
  </si>
  <si>
    <t>100 인건비</t>
    <phoneticPr fontId="2" type="noConversion"/>
  </si>
  <si>
    <t>101 급여</t>
    <phoneticPr fontId="2" type="noConversion"/>
  </si>
  <si>
    <t>- 관장(4급)</t>
    <phoneticPr fontId="2" type="noConversion"/>
  </si>
  <si>
    <t xml:space="preserve">× </t>
    <phoneticPr fontId="2" type="noConversion"/>
  </si>
  <si>
    <t>=</t>
    <phoneticPr fontId="2" type="noConversion"/>
  </si>
  <si>
    <t>- 팀장(6급)</t>
    <phoneticPr fontId="2" type="noConversion"/>
  </si>
  <si>
    <t>- 사원(7급)</t>
    <phoneticPr fontId="2" type="noConversion"/>
  </si>
  <si>
    <t>102 제수당</t>
    <phoneticPr fontId="2" type="noConversion"/>
  </si>
  <si>
    <t>ㅇ직급보조비</t>
    <phoneticPr fontId="2" type="noConversion"/>
  </si>
  <si>
    <t>- 관장(4급)</t>
    <phoneticPr fontId="2" type="noConversion"/>
  </si>
  <si>
    <t>ㅇ가족수당</t>
    <phoneticPr fontId="2" type="noConversion"/>
  </si>
  <si>
    <t>- 배우자</t>
    <phoneticPr fontId="2" type="noConversion"/>
  </si>
  <si>
    <t>- 부양가족</t>
    <phoneticPr fontId="2" type="noConversion"/>
  </si>
  <si>
    <t>- 부양가족 가산(둘째자녀)</t>
    <phoneticPr fontId="2" type="noConversion"/>
  </si>
  <si>
    <t>ㅇ급량비</t>
    <phoneticPr fontId="2" type="noConversion"/>
  </si>
  <si>
    <t>- 정액급식비</t>
    <phoneticPr fontId="2" type="noConversion"/>
  </si>
  <si>
    <t>ㅇ자격수당</t>
    <phoneticPr fontId="2" type="noConversion"/>
  </si>
  <si>
    <t>- 청소년지도사</t>
    <phoneticPr fontId="2" type="noConversion"/>
  </si>
  <si>
    <t>ㅇ시간외/당직근무수당</t>
    <phoneticPr fontId="2" type="noConversion"/>
  </si>
  <si>
    <t xml:space="preserve"> - 시간외및당직근무수당</t>
    <phoneticPr fontId="2" type="noConversion"/>
  </si>
  <si>
    <t>ㅇ정근수당</t>
    <phoneticPr fontId="2" type="noConversion"/>
  </si>
  <si>
    <t>- 사원(7급)</t>
    <phoneticPr fontId="2" type="noConversion"/>
  </si>
  <si>
    <t>ㅇ정근수당가산금</t>
    <phoneticPr fontId="2" type="noConversion"/>
  </si>
  <si>
    <t>- 20년 이상</t>
    <phoneticPr fontId="2" type="noConversion"/>
  </si>
  <si>
    <t>- 15년 이상</t>
    <phoneticPr fontId="2" type="noConversion"/>
  </si>
  <si>
    <t>- 10년 이상</t>
    <phoneticPr fontId="2" type="noConversion"/>
  </si>
  <si>
    <t>- 5년 이상</t>
    <phoneticPr fontId="2" type="noConversion"/>
  </si>
  <si>
    <t>ㅇ명절휴가비</t>
    <phoneticPr fontId="2" type="noConversion"/>
  </si>
  <si>
    <t>- 팀장(6급)</t>
    <phoneticPr fontId="2" type="noConversion"/>
  </si>
  <si>
    <t>ㅇ연가보상비</t>
    <phoneticPr fontId="2" type="noConversion"/>
  </si>
  <si>
    <t>- 연가보상비</t>
    <phoneticPr fontId="2" type="noConversion"/>
  </si>
  <si>
    <t>105 기간제근로자보수</t>
    <phoneticPr fontId="2" type="noConversion"/>
  </si>
  <si>
    <t>ㅇ기간제근로자보수</t>
    <phoneticPr fontId="2" type="noConversion"/>
  </si>
  <si>
    <t>­ 미화</t>
    <phoneticPr fontId="2" type="noConversion"/>
  </si>
  <si>
    <t>­ 보안</t>
    <phoneticPr fontId="2" type="noConversion"/>
  </si>
  <si>
    <t>­ 안내데스크</t>
    <phoneticPr fontId="2" type="noConversion"/>
  </si>
  <si>
    <t>­ 연가보상비</t>
    <phoneticPr fontId="2" type="noConversion"/>
  </si>
  <si>
    <t>­ 퇴직금</t>
    <phoneticPr fontId="2" type="noConversion"/>
  </si>
  <si>
    <t>106 퇴직급여</t>
    <phoneticPr fontId="2" type="noConversion"/>
  </si>
  <si>
    <t>ㅇ퇴직급여충당금</t>
    <phoneticPr fontId="2" type="noConversion"/>
  </si>
  <si>
    <t>­ 퇴직급여충당금</t>
    <phoneticPr fontId="2" type="noConversion"/>
  </si>
  <si>
    <t>200 경비</t>
    <phoneticPr fontId="2" type="noConversion"/>
  </si>
  <si>
    <t>201 복리후생비</t>
    <phoneticPr fontId="2" type="noConversion"/>
  </si>
  <si>
    <t>ㅇ사회4대보험</t>
    <phoneticPr fontId="2" type="noConversion"/>
  </si>
  <si>
    <t>­ 국민연금부담금</t>
    <phoneticPr fontId="2" type="noConversion"/>
  </si>
  <si>
    <t>­ 국민건강보험부담금</t>
    <phoneticPr fontId="2" type="noConversion"/>
  </si>
  <si>
    <t>­ 장기요양보험부담금</t>
    <phoneticPr fontId="2" type="noConversion"/>
  </si>
  <si>
    <t>­ 고용보험부담금</t>
    <phoneticPr fontId="2" type="noConversion"/>
  </si>
  <si>
    <t>­ 산재보험부담금</t>
    <phoneticPr fontId="2" type="noConversion"/>
  </si>
  <si>
    <t>203 공공요금 및 제세</t>
    <phoneticPr fontId="2" type="noConversion"/>
  </si>
  <si>
    <t>ㅇ발송비</t>
    <phoneticPr fontId="2" type="noConversion"/>
  </si>
  <si>
    <t>­ 우편물,택배 발송비</t>
    <phoneticPr fontId="2" type="noConversion"/>
  </si>
  <si>
    <t>ㅇ통신비</t>
    <phoneticPr fontId="2" type="noConversion"/>
  </si>
  <si>
    <t>­ 전화 인터넷 사용료</t>
    <phoneticPr fontId="2" type="noConversion"/>
  </si>
  <si>
    <t>ㅇ협회비및부담금</t>
    <phoneticPr fontId="2" type="noConversion"/>
  </si>
  <si>
    <t>­ 소방안전협회비</t>
    <phoneticPr fontId="2" type="noConversion"/>
  </si>
  <si>
    <t>­ 전기안전협회비</t>
    <phoneticPr fontId="2" type="noConversion"/>
  </si>
  <si>
    <t>­ 청소년시설협회비</t>
    <phoneticPr fontId="2" type="noConversion"/>
  </si>
  <si>
    <t>­ 교통유발부담금</t>
    <phoneticPr fontId="2" type="noConversion"/>
  </si>
  <si>
    <t>204 수도광열비</t>
    <phoneticPr fontId="2" type="noConversion"/>
  </si>
  <si>
    <t>ㅇ수도광열비</t>
    <phoneticPr fontId="2" type="noConversion"/>
  </si>
  <si>
    <t>206 소모품비</t>
    <phoneticPr fontId="2" type="noConversion"/>
  </si>
  <si>
    <t>ㅇ사무용품비</t>
    <phoneticPr fontId="2" type="noConversion"/>
  </si>
  <si>
    <t>­ 사무용품비</t>
    <phoneticPr fontId="2" type="noConversion"/>
  </si>
  <si>
    <t>­ 복사용지</t>
    <phoneticPr fontId="2" type="noConversion"/>
  </si>
  <si>
    <t>ㅇ청소용품비</t>
    <phoneticPr fontId="2" type="noConversion"/>
  </si>
  <si>
    <t>208 도서인쇄비</t>
    <phoneticPr fontId="2" type="noConversion"/>
  </si>
  <si>
    <t>ㅇ도서인쇄비</t>
    <phoneticPr fontId="2" type="noConversion"/>
  </si>
  <si>
    <t>­ 정기간행물 및 업무용도서구입비</t>
    <phoneticPr fontId="2" type="noConversion"/>
  </si>
  <si>
    <t>209 지급임차료</t>
    <phoneticPr fontId="2" type="noConversion"/>
  </si>
  <si>
    <t>­ 복합기임차료</t>
    <phoneticPr fontId="2" type="noConversion"/>
  </si>
  <si>
    <t>­ 공기청정기임차료</t>
    <phoneticPr fontId="2" type="noConversion"/>
  </si>
  <si>
    <t>­ 냉온정수기임차료</t>
    <phoneticPr fontId="2" type="noConversion"/>
  </si>
  <si>
    <t>210 수선유지비</t>
    <phoneticPr fontId="2" type="noConversion"/>
  </si>
  <si>
    <t>­ 기계냉난방기유지관리비</t>
    <phoneticPr fontId="2" type="noConversion"/>
  </si>
  <si>
    <t>­ 건축설비유지관리비</t>
    <phoneticPr fontId="2" type="noConversion"/>
  </si>
  <si>
    <t>­ PC유지관리비</t>
    <phoneticPr fontId="2" type="noConversion"/>
  </si>
  <si>
    <t>­ 승강기위탁관리유지관리비</t>
    <phoneticPr fontId="2" type="noConversion"/>
  </si>
  <si>
    <t>­ 건물수선비(대청소)</t>
    <phoneticPr fontId="2" type="noConversion"/>
  </si>
  <si>
    <t>­ 전기설비유지관리비</t>
    <phoneticPr fontId="2" type="noConversion"/>
  </si>
  <si>
    <t>­ 소방유지관리비</t>
    <phoneticPr fontId="2" type="noConversion"/>
  </si>
  <si>
    <t>211 차량유지비</t>
    <phoneticPr fontId="2" type="noConversion"/>
  </si>
  <si>
    <t>ㅇ차량유지비</t>
    <phoneticPr fontId="2" type="noConversion"/>
  </si>
  <si>
    <t>­ 주유비 및 수리</t>
    <phoneticPr fontId="2" type="noConversion"/>
  </si>
  <si>
    <t>212 보험료</t>
    <phoneticPr fontId="2" type="noConversion"/>
  </si>
  <si>
    <t>­ 수련시설종합보험료</t>
    <phoneticPr fontId="2" type="noConversion"/>
  </si>
  <si>
    <t>­ 직원상해보험료</t>
    <phoneticPr fontId="2" type="noConversion"/>
  </si>
  <si>
    <t>­ 각종세금</t>
    <phoneticPr fontId="2" type="noConversion"/>
  </si>
  <si>
    <t>­ 이행보증보험</t>
    <phoneticPr fontId="2" type="noConversion"/>
  </si>
  <si>
    <t>213 지급수수료</t>
    <phoneticPr fontId="2" type="noConversion"/>
  </si>
  <si>
    <t>ㅇ지급수수료</t>
    <phoneticPr fontId="2" type="noConversion"/>
  </si>
  <si>
    <t>­ 무인경비시스템유지관리비</t>
    <phoneticPr fontId="2" type="noConversion"/>
  </si>
  <si>
    <t>­ 해충방제방역유지관리비</t>
    <phoneticPr fontId="2" type="noConversion"/>
  </si>
  <si>
    <t>ㅇ기타공공요금</t>
    <phoneticPr fontId="2" type="noConversion"/>
  </si>
  <si>
    <t>­ 수질검사수수료</t>
    <phoneticPr fontId="2" type="noConversion"/>
  </si>
  <si>
    <t>­ 승강기정기검사수수료</t>
    <phoneticPr fontId="2" type="noConversion"/>
  </si>
  <si>
    <t>­ 각종수수료(퇴직연금운용등)</t>
    <phoneticPr fontId="2" type="noConversion"/>
  </si>
  <si>
    <t>217 재료비기타</t>
    <phoneticPr fontId="2" type="noConversion"/>
  </si>
  <si>
    <t>ㅇ재료비기타</t>
    <phoneticPr fontId="2" type="noConversion"/>
  </si>
  <si>
    <t>­ 시설공구구입</t>
    <phoneticPr fontId="2" type="noConversion"/>
  </si>
  <si>
    <t>­ 시설재료구입</t>
    <phoneticPr fontId="2" type="noConversion"/>
  </si>
  <si>
    <t>­ 안전재료구입</t>
    <phoneticPr fontId="2" type="noConversion"/>
  </si>
  <si>
    <t>220 회의운영비</t>
    <phoneticPr fontId="2" type="noConversion"/>
  </si>
  <si>
    <t>­ 회의비</t>
    <phoneticPr fontId="2" type="noConversion"/>
  </si>
  <si>
    <t>405-1 자산취득비</t>
    <phoneticPr fontId="2" type="noConversion"/>
  </si>
  <si>
    <t>­ 일산서구수련관 비품</t>
    <phoneticPr fontId="2" type="noConversion"/>
  </si>
  <si>
    <t>­ 일산서구수련관 구축</t>
    <phoneticPr fontId="2" type="noConversion"/>
  </si>
  <si>
    <t>720 청소년사업비</t>
    <phoneticPr fontId="2" type="noConversion"/>
  </si>
  <si>
    <t>722 목적사업비</t>
    <phoneticPr fontId="2" type="noConversion"/>
  </si>
  <si>
    <t>ㅇ청소년운영위원회</t>
    <phoneticPr fontId="2" type="noConversion"/>
  </si>
  <si>
    <t>ㅇ자치동아리 운영</t>
    <phoneticPr fontId="2" type="noConversion"/>
  </si>
  <si>
    <t xml:space="preserve">   - 동아리활동비</t>
    <phoneticPr fontId="2" type="noConversion"/>
  </si>
  <si>
    <t>­ 연합활동비</t>
    <phoneticPr fontId="2" type="noConversion"/>
  </si>
  <si>
    <t>ㅇ청소년자치프로젝트</t>
    <phoneticPr fontId="2" type="noConversion"/>
  </si>
  <si>
    <t xml:space="preserve">   - 고양역사바로알기</t>
    <phoneticPr fontId="2" type="noConversion"/>
  </si>
  <si>
    <t xml:space="preserve">   - 청소년 친화적 마을만들기</t>
    <phoneticPr fontId="2" type="noConversion"/>
  </si>
  <si>
    <t>ㅇ청소년정책참여사업</t>
    <phoneticPr fontId="2" type="noConversion"/>
  </si>
  <si>
    <t xml:space="preserve">   - 토크콘서트</t>
    <phoneticPr fontId="2" type="noConversion"/>
  </si>
  <si>
    <t xml:space="preserve">   - 청소년참여예산제</t>
    <phoneticPr fontId="2" type="noConversion"/>
  </si>
  <si>
    <t>ㅇ 청소년 인권향상프로젝트</t>
    <phoneticPr fontId="2" type="noConversion"/>
  </si>
  <si>
    <t xml:space="preserve">   - 청소년 인식개선 프로그램</t>
    <phoneticPr fontId="2" type="noConversion"/>
  </si>
  <si>
    <t xml:space="preserve">   - 청소년 고정관념 개선 프로그램</t>
    <phoneticPr fontId="2" type="noConversion"/>
  </si>
  <si>
    <t>ㅇ 청소년 알 권리 프로젝트</t>
    <phoneticPr fontId="2" type="noConversion"/>
  </si>
  <si>
    <t xml:space="preserve">   - 청소년 성교육 UCC대회</t>
    <phoneticPr fontId="2" type="noConversion"/>
  </si>
  <si>
    <t xml:space="preserve">   - 학교폭력 예방교육</t>
    <phoneticPr fontId="2" type="noConversion"/>
  </si>
  <si>
    <t xml:space="preserve">   - 청소년 노동인권 향상 프로그램</t>
    <phoneticPr fontId="2" type="noConversion"/>
  </si>
  <si>
    <t>ㅇ 청소년 소통한마당</t>
    <phoneticPr fontId="2" type="noConversion"/>
  </si>
  <si>
    <t xml:space="preserve">   - 세대공감 프로젝트</t>
    <phoneticPr fontId="2" type="noConversion"/>
  </si>
  <si>
    <t xml:space="preserve">   - 민주시민 교육</t>
    <phoneticPr fontId="2" type="noConversion"/>
  </si>
  <si>
    <t xml:space="preserve">   - 청소년리더십 향상 교육</t>
    <phoneticPr fontId="2" type="noConversion"/>
  </si>
  <si>
    <t>ㅇ 청소년 안전한 환경조성</t>
    <phoneticPr fontId="2" type="noConversion"/>
  </si>
  <si>
    <t xml:space="preserve">   - 청소년 안전한 거리만들기</t>
    <phoneticPr fontId="2" type="noConversion"/>
  </si>
  <si>
    <t xml:space="preserve">   - 청소년 안전실태 조사 프로젝트</t>
    <phoneticPr fontId="2" type="noConversion"/>
  </si>
  <si>
    <t>ㅇ 국가간 청소년 교류</t>
    <phoneticPr fontId="2" type="noConversion"/>
  </si>
  <si>
    <t xml:space="preserve">   - 자매결연도시 상호교류</t>
    <phoneticPr fontId="2" type="noConversion"/>
  </si>
  <si>
    <t>ㅇ 지역사회 상생프로젝트</t>
    <phoneticPr fontId="2" type="noConversion"/>
  </si>
  <si>
    <t xml:space="preserve">   - 청소년활동공간 지원사업</t>
    <phoneticPr fontId="2" type="noConversion"/>
  </si>
  <si>
    <t xml:space="preserve">   - 후기청소년 지원 사업 </t>
    <phoneticPr fontId="2" type="noConversion"/>
  </si>
  <si>
    <t>730 자체사업비</t>
    <phoneticPr fontId="2" type="noConversion"/>
  </si>
  <si>
    <t>731 직영사업비</t>
    <phoneticPr fontId="2" type="noConversion"/>
  </si>
  <si>
    <t>ㅇ무기계약근로자 보수</t>
    <phoneticPr fontId="2" type="noConversion"/>
  </si>
  <si>
    <t>­ 무기계약근로자 보수(미화)</t>
    <phoneticPr fontId="2" type="noConversion"/>
  </si>
  <si>
    <t>­ 북카페</t>
    <phoneticPr fontId="2" type="noConversion"/>
  </si>
  <si>
    <t>­ 안내</t>
    <phoneticPr fontId="2" type="noConversion"/>
  </si>
  <si>
    <t>­ 퇴직금</t>
    <phoneticPr fontId="2" type="noConversion"/>
  </si>
  <si>
    <t>1/10월</t>
    <phoneticPr fontId="2" type="noConversion"/>
  </si>
  <si>
    <t>201 복리후생비</t>
    <phoneticPr fontId="2" type="noConversion"/>
  </si>
  <si>
    <t>ㅇ사회4대보험</t>
    <phoneticPr fontId="2" type="noConversion"/>
  </si>
  <si>
    <t>­ 국민연금부담금</t>
    <phoneticPr fontId="2" type="noConversion"/>
  </si>
  <si>
    <t>­ 장기요양보험부담금</t>
    <phoneticPr fontId="2" type="noConversion"/>
  </si>
  <si>
    <t>­ 특근매식비</t>
    <phoneticPr fontId="2" type="noConversion"/>
  </si>
  <si>
    <t>ㅇ직원복지</t>
    <phoneticPr fontId="2" type="noConversion"/>
  </si>
  <si>
    <t>­ 직원종합건강검진</t>
    <phoneticPr fontId="2" type="noConversion"/>
  </si>
  <si>
    <t>­ 선택적복지제도</t>
    <phoneticPr fontId="2" type="noConversion"/>
  </si>
  <si>
    <t>202 여비</t>
    <phoneticPr fontId="2" type="noConversion"/>
  </si>
  <si>
    <t>ㅇ여비</t>
    <phoneticPr fontId="2" type="noConversion"/>
  </si>
  <si>
    <t>­ 국내여비</t>
    <phoneticPr fontId="2" type="noConversion"/>
  </si>
  <si>
    <t>­ 국외업무여비</t>
    <phoneticPr fontId="2" type="noConversion"/>
  </si>
  <si>
    <t>ㅇ제세공과금</t>
    <phoneticPr fontId="2" type="noConversion"/>
  </si>
  <si>
    <t>­ 부가가치세</t>
    <phoneticPr fontId="2" type="noConversion"/>
  </si>
  <si>
    <t>206 소모품비</t>
    <phoneticPr fontId="2" type="noConversion"/>
  </si>
  <si>
    <t>­ 공용사무용품비</t>
    <phoneticPr fontId="2" type="noConversion"/>
  </si>
  <si>
    <t>ㅇ약품구입비</t>
    <phoneticPr fontId="2" type="noConversion"/>
  </si>
  <si>
    <t>­ 비상약품</t>
    <phoneticPr fontId="2" type="noConversion"/>
  </si>
  <si>
    <t>207 피복비</t>
    <phoneticPr fontId="2" type="noConversion"/>
  </si>
  <si>
    <t>ㅇ피복비</t>
    <phoneticPr fontId="2" type="noConversion"/>
  </si>
  <si>
    <t>­ 직원피복비</t>
    <phoneticPr fontId="2" type="noConversion"/>
  </si>
  <si>
    <t>208 도서인쇄비</t>
    <phoneticPr fontId="2" type="noConversion"/>
  </si>
  <si>
    <t>214 업무추진비</t>
    <phoneticPr fontId="2" type="noConversion"/>
  </si>
  <si>
    <t>ㅇ 업무추진비</t>
    <phoneticPr fontId="2" type="noConversion"/>
  </si>
  <si>
    <t>­ 기관운영업무추진비</t>
    <phoneticPr fontId="2" type="noConversion"/>
  </si>
  <si>
    <t>­ 시책추진업무추진비</t>
    <phoneticPr fontId="2" type="noConversion"/>
  </si>
  <si>
    <t>ㅇ 관서업무비</t>
    <phoneticPr fontId="2" type="noConversion"/>
  </si>
  <si>
    <t>­ 부서운영업무추진비</t>
    <phoneticPr fontId="2" type="noConversion"/>
  </si>
  <si>
    <t xml:space="preserve">  · 사업2팀</t>
    <phoneticPr fontId="2" type="noConversion"/>
  </si>
  <si>
    <t>­ 정원가산업무추진비</t>
    <phoneticPr fontId="2" type="noConversion"/>
  </si>
  <si>
    <t>216 교육훈련비</t>
    <phoneticPr fontId="2" type="noConversion"/>
  </si>
  <si>
    <t>ㅇ교육훈련비</t>
    <phoneticPr fontId="2" type="noConversion"/>
  </si>
  <si>
    <t>­ 직원교육지원비</t>
    <phoneticPr fontId="2" type="noConversion"/>
  </si>
  <si>
    <t>ㅇ워크숍</t>
    <phoneticPr fontId="2" type="noConversion"/>
  </si>
  <si>
    <t>­ 시설워크숍</t>
    <phoneticPr fontId="2" type="noConversion"/>
  </si>
  <si>
    <t>- 캐비넷구입</t>
    <phoneticPr fontId="2" type="noConversion"/>
  </si>
  <si>
    <t>- 선풍기 외</t>
    <phoneticPr fontId="2" type="noConversion"/>
  </si>
  <si>
    <t>- 프로그램 비품</t>
    <phoneticPr fontId="2" type="noConversion"/>
  </si>
  <si>
    <t>731-1 청소년교육사업</t>
    <phoneticPr fontId="2" type="noConversion"/>
  </si>
  <si>
    <t>ㅇ청소년교육사업</t>
    <phoneticPr fontId="2" type="noConversion"/>
  </si>
  <si>
    <t xml:space="preserve">   - 강사료</t>
    <phoneticPr fontId="2" type="noConversion"/>
  </si>
  <si>
    <t xml:space="preserve">   - 한마음축제운영비</t>
    <phoneticPr fontId="2" type="noConversion"/>
  </si>
  <si>
    <t xml:space="preserve">   - 강사간담회운영비</t>
    <phoneticPr fontId="2" type="noConversion"/>
  </si>
  <si>
    <t xml:space="preserve">   - 회원관리프로그램운영비</t>
    <phoneticPr fontId="2" type="noConversion"/>
  </si>
  <si>
    <t xml:space="preserve">   - SMS서비스유지관리비</t>
    <phoneticPr fontId="2" type="noConversion"/>
  </si>
  <si>
    <t xml:space="preserve">   - 카드수수료</t>
    <phoneticPr fontId="2" type="noConversion"/>
  </si>
  <si>
    <t xml:space="preserve">   - 프로그램유지관리비</t>
    <phoneticPr fontId="2" type="noConversion"/>
  </si>
  <si>
    <t>ㅇ북카페운영</t>
    <phoneticPr fontId="2" type="noConversion"/>
  </si>
  <si>
    <t xml:space="preserve">   - 열린공간(교육문화예술)</t>
    <phoneticPr fontId="2" type="noConversion"/>
  </si>
  <si>
    <t xml:space="preserve">   - 열린공간(단기특강)</t>
    <phoneticPr fontId="2" type="noConversion"/>
  </si>
  <si>
    <t>731-3 청소년활동사업</t>
    <phoneticPr fontId="2" type="noConversion"/>
  </si>
  <si>
    <t>ㅇ청소년국제교류캠프</t>
    <phoneticPr fontId="2" type="noConversion"/>
  </si>
  <si>
    <t>- 항공료 및 체류비</t>
    <phoneticPr fontId="2" type="noConversion"/>
  </si>
  <si>
    <t>- 홍보비</t>
    <phoneticPr fontId="2" type="noConversion"/>
  </si>
  <si>
    <t>- 기타운영비(물품구입,입찰심사,현지활동비등)</t>
    <phoneticPr fontId="2" type="noConversion"/>
  </si>
  <si>
    <t>ㅇ학교연계</t>
    <phoneticPr fontId="2" type="noConversion"/>
  </si>
  <si>
    <t>- 학교연계사업운영비</t>
    <phoneticPr fontId="2" type="noConversion"/>
  </si>
  <si>
    <t>731-4 홍보사업</t>
    <phoneticPr fontId="2" type="noConversion"/>
  </si>
  <si>
    <t>ㅇ개관식</t>
    <phoneticPr fontId="2" type="noConversion"/>
  </si>
  <si>
    <t>- 개관기념식</t>
    <phoneticPr fontId="2" type="noConversion"/>
  </si>
  <si>
    <t>ㅇ홍보사업운영</t>
    <phoneticPr fontId="2" type="noConversion"/>
  </si>
  <si>
    <t>- 홍보물제작운영</t>
    <phoneticPr fontId="2" type="noConversion"/>
  </si>
  <si>
    <t>- 출판물제작운영비</t>
    <phoneticPr fontId="2" type="noConversion"/>
  </si>
  <si>
    <t>일산서구청소년수련관</t>
  </si>
  <si>
    <t>총      계</t>
    <phoneticPr fontId="7" type="noConversion"/>
  </si>
  <si>
    <t>합      계</t>
    <phoneticPr fontId="7" type="noConversion"/>
  </si>
  <si>
    <t>주교동청소년카페</t>
    <phoneticPr fontId="2" type="noConversion"/>
  </si>
  <si>
    <t>일산서구청소년수련관</t>
    <phoneticPr fontId="2" type="noConversion"/>
  </si>
  <si>
    <t>주교동청소년카페</t>
    <phoneticPr fontId="2" type="noConversion"/>
  </si>
  <si>
    <t>경비</t>
    <phoneticPr fontId="2" type="noConversion"/>
  </si>
  <si>
    <t>자체사업비</t>
    <phoneticPr fontId="2" type="noConversion"/>
  </si>
  <si>
    <t>405 자산취득비</t>
    <phoneticPr fontId="2" type="noConversion"/>
  </si>
  <si>
    <t>713 성과급</t>
    <phoneticPr fontId="7" type="noConversion"/>
  </si>
  <si>
    <t>토당청소년수련관</t>
    <phoneticPr fontId="2" type="noConversion"/>
  </si>
  <si>
    <t>고양시청소년상담복지센터</t>
    <phoneticPr fontId="2" type="noConversion"/>
  </si>
  <si>
    <t>화정청소년카페</t>
    <phoneticPr fontId="2" type="noConversion"/>
  </si>
  <si>
    <t>고양시청소년진로센터</t>
    <phoneticPr fontId="2" type="noConversion"/>
  </si>
  <si>
    <t>주교동청소년카페</t>
  </si>
  <si>
    <t>사무국 자본금</t>
    <phoneticPr fontId="2" type="noConversion"/>
  </si>
  <si>
    <t>+</t>
    <phoneticPr fontId="2" type="noConversion"/>
  </si>
  <si>
    <t>=</t>
    <phoneticPr fontId="2" type="noConversion"/>
  </si>
  <si>
    <t>(사무국자본금 포함)</t>
    <phoneticPr fontId="2" type="noConversion"/>
  </si>
  <si>
    <t>202 여비</t>
    <phoneticPr fontId="2" type="noConversion"/>
  </si>
  <si>
    <t>208 도서인쇄비</t>
    <phoneticPr fontId="2" type="noConversion"/>
  </si>
  <si>
    <t>경비</t>
    <phoneticPr fontId="2" type="noConversion"/>
  </si>
  <si>
    <t>자산취득비</t>
    <phoneticPr fontId="2" type="noConversion"/>
  </si>
  <si>
    <t>자산취득비+경비</t>
    <phoneticPr fontId="2" type="noConversion"/>
  </si>
  <si>
    <t>경비</t>
    <phoneticPr fontId="2" type="noConversion"/>
  </si>
  <si>
    <t>자산취득비</t>
    <phoneticPr fontId="2" type="noConversion"/>
  </si>
  <si>
    <t>경비+자산취득비</t>
    <phoneticPr fontId="2" type="noConversion"/>
  </si>
  <si>
    <t>경비</t>
    <phoneticPr fontId="2" type="noConversion"/>
  </si>
  <si>
    <t>자산취득비</t>
    <phoneticPr fontId="2" type="noConversion"/>
  </si>
  <si>
    <t>경비+자산취득비</t>
    <phoneticPr fontId="2" type="noConversion"/>
  </si>
  <si>
    <t>자산취득비</t>
    <phoneticPr fontId="2" type="noConversion"/>
  </si>
  <si>
    <t>경비+자산취득비</t>
    <phoneticPr fontId="2" type="noConversion"/>
  </si>
  <si>
    <t>주교동청소년카페</t>
    <phoneticPr fontId="2" type="noConversion"/>
  </si>
  <si>
    <t>금  액</t>
  </si>
  <si>
    <t>일산서구청소년수련관</t>
    <phoneticPr fontId="2" type="noConversion"/>
  </si>
  <si>
    <t>고양시청소년상담복지센터</t>
    <phoneticPr fontId="2" type="noConversion"/>
  </si>
  <si>
    <t>화정청소년카페</t>
    <phoneticPr fontId="2" type="noConversion"/>
  </si>
  <si>
    <t>사무국</t>
    <phoneticPr fontId="2" type="noConversion"/>
  </si>
  <si>
    <t>마두청소년수련관</t>
    <phoneticPr fontId="2" type="noConversion"/>
  </si>
  <si>
    <t>고양시청소년진로센터</t>
    <phoneticPr fontId="2" type="noConversion"/>
  </si>
  <si>
    <t>성사청소년문화의집</t>
    <phoneticPr fontId="2" type="noConversion"/>
  </si>
  <si>
    <t>탄현청소년문화의집</t>
    <phoneticPr fontId="2" type="noConversion"/>
  </si>
  <si>
    <t>토당청소년수련관</t>
    <phoneticPr fontId="2" type="noConversion"/>
  </si>
  <si>
    <t>200 경비</t>
    <phoneticPr fontId="2" type="noConversion"/>
  </si>
  <si>
    <t>623 시비보조금</t>
    <phoneticPr fontId="2" type="noConversion"/>
  </si>
  <si>
    <t>621 이자수익</t>
    <phoneticPr fontId="2" type="noConversion"/>
  </si>
  <si>
    <t>624 기부금수익</t>
    <phoneticPr fontId="2" type="noConversion"/>
  </si>
  <si>
    <t>172 이월금 및 출자출연금</t>
    <phoneticPr fontId="2" type="noConversion"/>
  </si>
  <si>
    <t>사무국(이월금)</t>
    <phoneticPr fontId="2" type="noConversion"/>
  </si>
  <si>
    <t>625-2 자체사업수익</t>
    <phoneticPr fontId="2" type="noConversion"/>
  </si>
  <si>
    <t>618 판매수익</t>
    <phoneticPr fontId="2" type="noConversion"/>
  </si>
  <si>
    <t>621 이월금</t>
    <phoneticPr fontId="2" type="noConversion"/>
  </si>
  <si>
    <t>625-3  기타출자출연금</t>
    <phoneticPr fontId="2" type="noConversion"/>
  </si>
  <si>
    <t>624 기부금수익</t>
    <phoneticPr fontId="2" type="noConversion"/>
  </si>
  <si>
    <t>624 기부금수익</t>
    <phoneticPr fontId="2" type="noConversion"/>
  </si>
  <si>
    <t>621 이월금</t>
    <phoneticPr fontId="2" type="noConversion"/>
  </si>
  <si>
    <t>625-3  기타출자출연금</t>
    <phoneticPr fontId="2" type="noConversion"/>
  </si>
  <si>
    <t>713 성과급</t>
    <phoneticPr fontId="2" type="noConversion"/>
  </si>
  <si>
    <t>713 성과급</t>
    <phoneticPr fontId="2" type="noConversion"/>
  </si>
  <si>
    <t>ㅇ사회4대보험</t>
    <phoneticPr fontId="2" type="noConversion"/>
  </si>
  <si>
    <t>­ 국민연금부담금</t>
    <phoneticPr fontId="2" type="noConversion"/>
  </si>
  <si>
    <t xml:space="preserve">× </t>
    <phoneticPr fontId="2" type="noConversion"/>
  </si>
  <si>
    <t>­ 국민건강보험부담금</t>
    <phoneticPr fontId="2" type="noConversion"/>
  </si>
  <si>
    <t xml:space="preserve">× </t>
    <phoneticPr fontId="2" type="noConversion"/>
  </si>
  <si>
    <t>­ 고용보험부담금</t>
    <phoneticPr fontId="2" type="noConversion"/>
  </si>
  <si>
    <t>­ 산재보험부담금</t>
    <phoneticPr fontId="2" type="noConversion"/>
  </si>
  <si>
    <t>ㅇ직원복지</t>
    <phoneticPr fontId="2" type="noConversion"/>
  </si>
  <si>
    <t>ㅇ업무추진비</t>
    <phoneticPr fontId="2" type="noConversion"/>
  </si>
  <si>
    <t>­ 업무활동비(관장님)</t>
    <phoneticPr fontId="2" type="noConversion"/>
  </si>
  <si>
    <t>=</t>
    <phoneticPr fontId="2" type="noConversion"/>
  </si>
  <si>
    <t>=</t>
    <phoneticPr fontId="2" type="noConversion"/>
  </si>
  <si>
    <t>o 방과후사업비 지원금</t>
    <phoneticPr fontId="2" type="noConversion"/>
  </si>
  <si>
    <t>­ 명절휴가비 지원(3명)</t>
    <phoneticPr fontId="2" type="noConversion"/>
  </si>
  <si>
    <t xml:space="preserve">× </t>
    <phoneticPr fontId="2" type="noConversion"/>
  </si>
  <si>
    <t>­ 업무지원자부담(시간외근무수당외)</t>
    <phoneticPr fontId="2" type="noConversion"/>
  </si>
  <si>
    <t xml:space="preserve">× </t>
    <phoneticPr fontId="2" type="noConversion"/>
  </si>
  <si>
    <t>o 대관사업비</t>
    <phoneticPr fontId="2" type="noConversion"/>
  </si>
  <si>
    <t xml:space="preserve">× </t>
    <phoneticPr fontId="2" type="noConversion"/>
  </si>
  <si>
    <t>o꿈e든 카드 바우처 사업</t>
    <phoneticPr fontId="2" type="noConversion"/>
  </si>
  <si>
    <t xml:space="preserve">× </t>
    <phoneticPr fontId="2" type="noConversion"/>
  </si>
  <si>
    <t xml:space="preserve">× </t>
    <phoneticPr fontId="2" type="noConversion"/>
  </si>
  <si>
    <t>=</t>
    <phoneticPr fontId="2" type="noConversion"/>
  </si>
  <si>
    <t>- 강사비(피아노)</t>
    <phoneticPr fontId="2" type="noConversion"/>
  </si>
  <si>
    <t xml:space="preserve">× </t>
    <phoneticPr fontId="2" type="noConversion"/>
  </si>
  <si>
    <t>- 운영비</t>
    <phoneticPr fontId="2" type="noConversion"/>
  </si>
  <si>
    <t>o지역사회문화축제</t>
    <phoneticPr fontId="2" type="noConversion"/>
  </si>
  <si>
    <t xml:space="preserve"> - 발표회지도비</t>
    <phoneticPr fontId="2" type="noConversion"/>
  </si>
  <si>
    <t>o 청소년동아리</t>
    <phoneticPr fontId="2" type="noConversion"/>
  </si>
  <si>
    <t>o 해피타임</t>
    <phoneticPr fontId="2" type="noConversion"/>
  </si>
  <si>
    <t xml:space="preserve">  - 홍보비</t>
    <phoneticPr fontId="2" type="noConversion"/>
  </si>
  <si>
    <t xml:space="preserve">  - 평가회의비</t>
    <phoneticPr fontId="2" type="noConversion"/>
  </si>
  <si>
    <t xml:space="preserve">  - 운영재료비</t>
    <phoneticPr fontId="2" type="noConversion"/>
  </si>
  <si>
    <t>o 청소년연합워크숍(자부담,참가비)</t>
    <phoneticPr fontId="2" type="noConversion"/>
  </si>
  <si>
    <t>o 청소년안전특화사업</t>
    <phoneticPr fontId="2" type="noConversion"/>
  </si>
  <si>
    <t>o 공공청소년수련시설</t>
    <phoneticPr fontId="2" type="noConversion"/>
  </si>
  <si>
    <t>o 청소년장학사업</t>
    <phoneticPr fontId="2" type="noConversion"/>
  </si>
  <si>
    <t>o 청소년권리증진사업</t>
    <phoneticPr fontId="2" type="noConversion"/>
  </si>
  <si>
    <t>o 청소년인성교육사업</t>
    <phoneticPr fontId="2" type="noConversion"/>
  </si>
  <si>
    <t>o 청소년역량강화사업</t>
    <phoneticPr fontId="2" type="noConversion"/>
  </si>
  <si>
    <t>o 푸른청소년문화제(자부담)</t>
    <phoneticPr fontId="2" type="noConversion"/>
  </si>
  <si>
    <t>o 창의적체험활동</t>
    <phoneticPr fontId="2" type="noConversion"/>
  </si>
  <si>
    <t>o 현장실습비</t>
    <phoneticPr fontId="2" type="noConversion"/>
  </si>
  <si>
    <t xml:space="preserve">  - 실습생식사</t>
    <phoneticPr fontId="2" type="noConversion"/>
  </si>
  <si>
    <t>o수련관운영위원회</t>
    <phoneticPr fontId="2" type="noConversion"/>
  </si>
  <si>
    <t>o 꿈터예술제</t>
    <phoneticPr fontId="2" type="noConversion"/>
  </si>
  <si>
    <t>o청소년자원봉사</t>
    <phoneticPr fontId="2" type="noConversion"/>
  </si>
  <si>
    <t>o역사사랑 하이킹대회(자부담,참가비)</t>
    <phoneticPr fontId="2" type="noConversion"/>
  </si>
  <si>
    <t>o고양청소년야영학교</t>
    <phoneticPr fontId="2" type="noConversion"/>
  </si>
  <si>
    <t>o고양누리길(자부담)</t>
    <phoneticPr fontId="2" type="noConversion"/>
  </si>
  <si>
    <t>o학교연계</t>
    <phoneticPr fontId="2" type="noConversion"/>
  </si>
  <si>
    <t>o우리는챔피언(자부담)</t>
    <phoneticPr fontId="2" type="noConversion"/>
  </si>
  <si>
    <t>o자유학기제</t>
    <phoneticPr fontId="2" type="noConversion"/>
  </si>
  <si>
    <t>o홍보사업비</t>
    <phoneticPr fontId="2" type="noConversion"/>
  </si>
  <si>
    <t>ㅇ관서업무비</t>
    <phoneticPr fontId="2" type="noConversion"/>
  </si>
  <si>
    <t>­ 정원가산업무추진비</t>
    <phoneticPr fontId="2" type="noConversion"/>
  </si>
  <si>
    <t xml:space="preserve">× </t>
    <phoneticPr fontId="2" type="noConversion"/>
  </si>
  <si>
    <t>­ 부서운영업무추진비</t>
    <phoneticPr fontId="2" type="noConversion"/>
  </si>
  <si>
    <t>사무국</t>
    <phoneticPr fontId="2" type="noConversion"/>
  </si>
  <si>
    <t>마두청소년수련관</t>
    <phoneticPr fontId="2" type="noConversion"/>
  </si>
  <si>
    <t>토당청소년수련관</t>
    <phoneticPr fontId="2" type="noConversion"/>
  </si>
  <si>
    <t>탄현청소년문화의집</t>
    <phoneticPr fontId="2" type="noConversion"/>
  </si>
  <si>
    <t>주교동청소년카페</t>
    <phoneticPr fontId="2" type="noConversion"/>
  </si>
  <si>
    <t>=</t>
    <phoneticPr fontId="2" type="noConversion"/>
  </si>
  <si>
    <t>ㅇ직급보조비</t>
    <phoneticPr fontId="2" type="noConversion"/>
  </si>
  <si>
    <t>- 팀장(6급)</t>
    <phoneticPr fontId="2" type="noConversion"/>
  </si>
  <si>
    <t xml:space="preserve">× </t>
    <phoneticPr fontId="2" type="noConversion"/>
  </si>
  <si>
    <t>=</t>
    <phoneticPr fontId="2" type="noConversion"/>
  </si>
  <si>
    <t>- 사원(7급)</t>
    <phoneticPr fontId="2" type="noConversion"/>
  </si>
  <si>
    <t>=</t>
    <phoneticPr fontId="2" type="noConversion"/>
  </si>
  <si>
    <t>ㅇ가족수당</t>
    <phoneticPr fontId="2" type="noConversion"/>
  </si>
  <si>
    <t xml:space="preserve">   · 배우자</t>
    <phoneticPr fontId="2" type="noConversion"/>
  </si>
  <si>
    <t>=</t>
    <phoneticPr fontId="2" type="noConversion"/>
  </si>
  <si>
    <t xml:space="preserve">   · 첫째자녀, 부양가족</t>
    <phoneticPr fontId="2" type="noConversion"/>
  </si>
  <si>
    <t xml:space="preserve">× </t>
    <phoneticPr fontId="2" type="noConversion"/>
  </si>
  <si>
    <t xml:space="preserve">   · 둘째자녀</t>
    <phoneticPr fontId="2" type="noConversion"/>
  </si>
  <si>
    <t>ㅇ급량비</t>
    <phoneticPr fontId="2" type="noConversion"/>
  </si>
  <si>
    <t>- 정액급식비</t>
    <phoneticPr fontId="2" type="noConversion"/>
  </si>
  <si>
    <t>ㅇ자격수당</t>
    <phoneticPr fontId="2" type="noConversion"/>
  </si>
  <si>
    <t>- 청소년지도사</t>
    <phoneticPr fontId="2" type="noConversion"/>
  </si>
  <si>
    <t>ㅇ시간외/당직근무수당</t>
    <phoneticPr fontId="2" type="noConversion"/>
  </si>
  <si>
    <t>ㅇ정근수당</t>
    <phoneticPr fontId="2" type="noConversion"/>
  </si>
  <si>
    <t>- 팀장(6급)</t>
    <phoneticPr fontId="2" type="noConversion"/>
  </si>
  <si>
    <t>- 사원(7급)</t>
    <phoneticPr fontId="2" type="noConversion"/>
  </si>
  <si>
    <t>ㅇ정근수당가산금</t>
    <phoneticPr fontId="2" type="noConversion"/>
  </si>
  <si>
    <t>- 5년 이상</t>
    <phoneticPr fontId="2" type="noConversion"/>
  </si>
  <si>
    <t>- 10년 이상</t>
    <phoneticPr fontId="2" type="noConversion"/>
  </si>
  <si>
    <t>ㅇ연가보상비</t>
    <phoneticPr fontId="2" type="noConversion"/>
  </si>
  <si>
    <t>- 연가보상비</t>
    <phoneticPr fontId="2" type="noConversion"/>
  </si>
  <si>
    <t xml:space="preserve">× </t>
    <phoneticPr fontId="2" type="noConversion"/>
  </si>
  <si>
    <t>=</t>
    <phoneticPr fontId="2" type="noConversion"/>
  </si>
  <si>
    <t>=</t>
    <phoneticPr fontId="2" type="noConversion"/>
  </si>
  <si>
    <t>ㅇ톡톡톡 애프터 스쿨-인문학교실</t>
    <phoneticPr fontId="2" type="noConversion"/>
  </si>
  <si>
    <t xml:space="preserve">ㅇ마을기반 진로탐색교실 </t>
    <phoneticPr fontId="2" type="noConversion"/>
  </si>
  <si>
    <t xml:space="preserve">ㅇ청소년사회적경제배움터 </t>
    <phoneticPr fontId="2" type="noConversion"/>
  </si>
  <si>
    <t>ㅇ꿈길을통한네트워크</t>
    <phoneticPr fontId="2" type="noConversion"/>
  </si>
  <si>
    <t>ㅇ진로지원멘토단운영</t>
    <phoneticPr fontId="2" type="noConversion"/>
  </si>
  <si>
    <t>ㅇ학부모지원단운영</t>
    <phoneticPr fontId="2" type="noConversion"/>
  </si>
  <si>
    <t>ㅇ진로교육협의체운영</t>
    <phoneticPr fontId="2" type="noConversion"/>
  </si>
  <si>
    <t>ㅇ초등학교 미니 박람회</t>
    <phoneticPr fontId="2" type="noConversion"/>
  </si>
  <si>
    <t>ㅇ고등학교 창업동아리지원</t>
    <phoneticPr fontId="2" type="noConversion"/>
  </si>
  <si>
    <t>ㅇ진로연구조사사업</t>
    <phoneticPr fontId="2" type="noConversion"/>
  </si>
  <si>
    <t>ㅇ자산취득비</t>
    <phoneticPr fontId="2" type="noConversion"/>
  </si>
  <si>
    <t>­ 직원용 PC 구입</t>
    <phoneticPr fontId="2" type="noConversion"/>
  </si>
  <si>
    <t xml:space="preserve">× </t>
    <phoneticPr fontId="2" type="noConversion"/>
  </si>
  <si>
    <t>=</t>
    <phoneticPr fontId="2" type="noConversion"/>
  </si>
  <si>
    <t>­ 제습기 구입(스쿼시장 및 동아리실)</t>
    <phoneticPr fontId="2" type="noConversion"/>
  </si>
  <si>
    <t xml:space="preserve">× </t>
    <phoneticPr fontId="2" type="noConversion"/>
  </si>
  <si>
    <t>­ 헬스기구  레그프레스</t>
    <phoneticPr fontId="2" type="noConversion"/>
  </si>
  <si>
    <t>=</t>
    <phoneticPr fontId="2" type="noConversion"/>
  </si>
  <si>
    <t>­ 헬스기구 케이블 머신</t>
    <phoneticPr fontId="2" type="noConversion"/>
  </si>
  <si>
    <t>=</t>
    <phoneticPr fontId="2" type="noConversion"/>
  </si>
  <si>
    <t>­ 헬스기구 플라이 머신</t>
    <phoneticPr fontId="2" type="noConversion"/>
  </si>
  <si>
    <t>­ 헬스기구 체스트프레스 머신</t>
    <phoneticPr fontId="2" type="noConversion"/>
  </si>
  <si>
    <t>­ 헬스기구 레플다운머신</t>
    <phoneticPr fontId="2" type="noConversion"/>
  </si>
  <si>
    <t>­ 헬스기구 싣업벤치</t>
    <phoneticPr fontId="2" type="noConversion"/>
  </si>
  <si>
    <t>사업비</t>
    <phoneticPr fontId="2" type="noConversion"/>
  </si>
  <si>
    <t>이자반환</t>
    <phoneticPr fontId="2" type="noConversion"/>
  </si>
  <si>
    <t>예비비</t>
    <phoneticPr fontId="2" type="noConversion"/>
  </si>
  <si>
    <t>인건비</t>
    <phoneticPr fontId="2" type="noConversion"/>
  </si>
  <si>
    <t>경비</t>
    <phoneticPr fontId="2" type="noConversion"/>
  </si>
  <si>
    <t>사회보장보험</t>
    <phoneticPr fontId="2" type="noConversion"/>
  </si>
  <si>
    <t>이자반환금</t>
    <phoneticPr fontId="2" type="noConversion"/>
  </si>
  <si>
    <t>기타</t>
    <phoneticPr fontId="2" type="noConversion"/>
  </si>
  <si>
    <t>예비비</t>
    <phoneticPr fontId="2" type="noConversion"/>
  </si>
  <si>
    <t>경상이전</t>
    <phoneticPr fontId="2" type="noConversion"/>
  </si>
  <si>
    <t>경비</t>
    <phoneticPr fontId="2" type="noConversion"/>
  </si>
  <si>
    <t>주교동청소년카페</t>
    <phoneticPr fontId="2" type="noConversion"/>
  </si>
  <si>
    <t>2018년예산액(A)</t>
    <phoneticPr fontId="7" type="noConversion"/>
  </si>
  <si>
    <t>마두청소년수련관</t>
    <phoneticPr fontId="2" type="noConversion"/>
  </si>
  <si>
    <t>731-1 사업비</t>
    <phoneticPr fontId="2" type="noConversion"/>
  </si>
  <si>
    <t>775 기타영업외비용</t>
    <phoneticPr fontId="2" type="noConversion"/>
  </si>
  <si>
    <t>730 자체사업비</t>
    <phoneticPr fontId="2" type="noConversion"/>
  </si>
  <si>
    <t>732 민간사업비</t>
  </si>
  <si>
    <t>732 민간사업비</t>
    <phoneticPr fontId="2" type="noConversion"/>
  </si>
  <si>
    <t>o청소년심쿵페스티벌</t>
    <phoneticPr fontId="2" type="noConversion"/>
  </si>
  <si>
    <t>ㅇ고양시청소년차세대위원회</t>
    <phoneticPr fontId="2" type="noConversion"/>
  </si>
  <si>
    <t>2018년도 세입·세출예산서(안)</t>
    <phoneticPr fontId="2" type="noConversion"/>
  </si>
  <si>
    <t>목           차</t>
    <phoneticPr fontId="2" type="noConversion"/>
  </si>
  <si>
    <t>예산총칙</t>
    <phoneticPr fontId="2" type="noConversion"/>
  </si>
  <si>
    <t>○ 성사청소년문화의집</t>
    <phoneticPr fontId="2" type="noConversion"/>
  </si>
  <si>
    <t>○ 탄현청소년문화의집</t>
    <phoneticPr fontId="2" type="noConversion"/>
  </si>
  <si>
    <t>○ 주교동청소년카페</t>
    <phoneticPr fontId="2" type="noConversion"/>
  </si>
  <si>
    <t>○ 토당청소년수련관</t>
    <phoneticPr fontId="2" type="noConversion"/>
  </si>
  <si>
    <t>○ 고양시청소년상담복지센터</t>
    <phoneticPr fontId="2" type="noConversion"/>
  </si>
  <si>
    <t>○ 화정청소년카페</t>
    <phoneticPr fontId="2" type="noConversion"/>
  </si>
  <si>
    <t>ㅇ학교 밖 지원센터 꿈드림</t>
    <phoneticPr fontId="7" type="noConversion"/>
  </si>
  <si>
    <t>ㅇ지역사회청소년통합지원체계(CYS-Net)</t>
    <phoneticPr fontId="7" type="noConversion"/>
  </si>
  <si>
    <t>인건비</t>
    <phoneticPr fontId="2" type="noConversion"/>
  </si>
  <si>
    <t>운영비</t>
    <phoneticPr fontId="2" type="noConversion"/>
  </si>
  <si>
    <t>인건비</t>
    <phoneticPr fontId="2" type="noConversion"/>
  </si>
  <si>
    <t>인건비</t>
    <phoneticPr fontId="2" type="noConversion"/>
  </si>
  <si>
    <t>운영비</t>
    <phoneticPr fontId="2" type="noConversion"/>
  </si>
  <si>
    <t>사업비</t>
    <phoneticPr fontId="2" type="noConversion"/>
  </si>
  <si>
    <t>인건비</t>
    <phoneticPr fontId="2" type="noConversion"/>
  </si>
  <si>
    <t>운영비</t>
    <phoneticPr fontId="2" type="noConversion"/>
  </si>
  <si>
    <t>사업비</t>
    <phoneticPr fontId="2" type="noConversion"/>
  </si>
  <si>
    <t>우녕비</t>
    <phoneticPr fontId="2" type="noConversion"/>
  </si>
  <si>
    <t xml:space="preserve">722-1 또래상담 및 사례교육 프로그램 </t>
    <phoneticPr fontId="2" type="noConversion"/>
  </si>
  <si>
    <t>722-2 지역사회청소년통합지원체계(CYS-Net)</t>
    <phoneticPr fontId="2" type="noConversion"/>
  </si>
  <si>
    <t>722-3 학교 밖 지원센터 꿈드림</t>
    <phoneticPr fontId="2" type="noConversion"/>
  </si>
  <si>
    <t>성사청소년문화의집</t>
    <phoneticPr fontId="2" type="noConversion"/>
  </si>
  <si>
    <t>탄현청소년문화의집</t>
    <phoneticPr fontId="2" type="noConversion"/>
  </si>
  <si>
    <t>주교동청소년카페</t>
    <phoneticPr fontId="2" type="noConversion"/>
  </si>
  <si>
    <t>일산서구청소년수련관</t>
    <phoneticPr fontId="2" type="noConversion"/>
  </si>
  <si>
    <t>고양시청소년상담복지센터</t>
    <phoneticPr fontId="2" type="noConversion"/>
  </si>
  <si>
    <t>204 수도광열비</t>
    <phoneticPr fontId="2" type="noConversion"/>
  </si>
  <si>
    <t>102 제수당</t>
    <phoneticPr fontId="2" type="noConversion"/>
  </si>
  <si>
    <t>105 기간제근로자보수</t>
    <phoneticPr fontId="2" type="noConversion"/>
  </si>
  <si>
    <t>106 퇴직급여</t>
    <phoneticPr fontId="2" type="noConversion"/>
  </si>
  <si>
    <t>201 복리후생비</t>
    <phoneticPr fontId="2" type="noConversion"/>
  </si>
  <si>
    <t>202 여비</t>
    <phoneticPr fontId="2" type="noConversion"/>
  </si>
  <si>
    <t>203 공공요금 및 제세</t>
    <phoneticPr fontId="2" type="noConversion"/>
  </si>
  <si>
    <t>204 수도광열비</t>
    <phoneticPr fontId="2" type="noConversion"/>
  </si>
  <si>
    <t>206 소모품비</t>
    <phoneticPr fontId="2" type="noConversion"/>
  </si>
  <si>
    <t>207 피복비</t>
    <phoneticPr fontId="2" type="noConversion"/>
  </si>
  <si>
    <t>755-4 기타영업외비용</t>
    <phoneticPr fontId="2" type="noConversion"/>
  </si>
  <si>
    <t>810-1 예비비</t>
    <phoneticPr fontId="7" type="noConversion"/>
  </si>
  <si>
    <t>제3조(수익적수입 및 지출) 수익적수입 및 지출의 예정액은 다음과 같이 정한다.</t>
    <phoneticPr fontId="2" type="noConversion"/>
  </si>
  <si>
    <t>수                       입</t>
    <phoneticPr fontId="2" type="noConversion"/>
  </si>
  <si>
    <t xml:space="preserve">   제1관 재단사업수입</t>
    <phoneticPr fontId="2" type="noConversion"/>
  </si>
  <si>
    <t>천원</t>
    <phoneticPr fontId="2" type="noConversion"/>
  </si>
  <si>
    <t xml:space="preserve">       제1항 영업수입</t>
    <phoneticPr fontId="2" type="noConversion"/>
  </si>
  <si>
    <t>천원</t>
    <phoneticPr fontId="2" type="noConversion"/>
  </si>
  <si>
    <t xml:space="preserve">       제2항 영업외수익</t>
    <phoneticPr fontId="2" type="noConversion"/>
  </si>
  <si>
    <t xml:space="preserve">       제3항 특별이익</t>
    <phoneticPr fontId="2" type="noConversion"/>
  </si>
  <si>
    <t>천원</t>
    <phoneticPr fontId="2" type="noConversion"/>
  </si>
  <si>
    <t>지                       출</t>
    <phoneticPr fontId="2" type="noConversion"/>
  </si>
  <si>
    <t xml:space="preserve">   제1관 재단사업비용</t>
    <phoneticPr fontId="2" type="noConversion"/>
  </si>
  <si>
    <t xml:space="preserve">       제1항 영업비용</t>
    <phoneticPr fontId="2" type="noConversion"/>
  </si>
  <si>
    <t xml:space="preserve">       제2항 영업외비용</t>
    <phoneticPr fontId="2" type="noConversion"/>
  </si>
  <si>
    <t xml:space="preserve">       제3항 특별손실</t>
    <phoneticPr fontId="2" type="noConversion"/>
  </si>
  <si>
    <t xml:space="preserve">       제4항 법인세등</t>
    <phoneticPr fontId="2" type="noConversion"/>
  </si>
  <si>
    <t xml:space="preserve">       제5항 예 비 비</t>
    <phoneticPr fontId="2" type="noConversion"/>
  </si>
  <si>
    <t>제4조(자본적수입 및 지출) 자본적수입 및 지출의 예정액은 다음과 같이 정한다.</t>
    <phoneticPr fontId="2" type="noConversion"/>
  </si>
  <si>
    <t>수                       입</t>
    <phoneticPr fontId="2" type="noConversion"/>
  </si>
  <si>
    <t xml:space="preserve">   제1관 자본적수입</t>
    <phoneticPr fontId="2" type="noConversion"/>
  </si>
  <si>
    <t xml:space="preserve">       제1항 투자자산</t>
    <phoneticPr fontId="2" type="noConversion"/>
  </si>
  <si>
    <t xml:space="preserve">       제2항 고정자산매각수입</t>
    <phoneticPr fontId="2" type="noConversion"/>
  </si>
  <si>
    <t xml:space="preserve">       제3항 고정부채수입</t>
    <phoneticPr fontId="2" type="noConversion"/>
  </si>
  <si>
    <t xml:space="preserve">       제4항 자 본 금</t>
    <phoneticPr fontId="2" type="noConversion"/>
  </si>
  <si>
    <t xml:space="preserve">       제5항 자본잉여금수입</t>
    <phoneticPr fontId="2" type="noConversion"/>
  </si>
  <si>
    <t xml:space="preserve">       제6항 기타자본잉여금수입</t>
    <phoneticPr fontId="2" type="noConversion"/>
  </si>
  <si>
    <t>지                       출</t>
    <phoneticPr fontId="2" type="noConversion"/>
  </si>
  <si>
    <t xml:space="preserve">   제1관 자본적지출</t>
    <phoneticPr fontId="2" type="noConversion"/>
  </si>
  <si>
    <t xml:space="preserve">       제2항 유형자산</t>
    <phoneticPr fontId="2" type="noConversion"/>
  </si>
  <si>
    <t xml:space="preserve">       제3항 무형자산</t>
    <phoneticPr fontId="2" type="noConversion"/>
  </si>
  <si>
    <t xml:space="preserve">       제4항 유동부채상환금</t>
    <phoneticPr fontId="2" type="noConversion"/>
  </si>
  <si>
    <t xml:space="preserve">       제5항 고정부채상환금</t>
    <phoneticPr fontId="2" type="noConversion"/>
  </si>
  <si>
    <t xml:space="preserve">       제6항 기타 자본적지출</t>
    <phoneticPr fontId="2" type="noConversion"/>
  </si>
  <si>
    <t xml:space="preserve">       제7항 예 비 비</t>
    <phoneticPr fontId="2" type="noConversion"/>
  </si>
  <si>
    <t>제5조(계속비) 계속비의 총액과 연할액은 다음과 같이 정한다.</t>
    <phoneticPr fontId="2" type="noConversion"/>
  </si>
  <si>
    <t xml:space="preserve">제6조(채무부담행위) 채무부담행위를 할 수 있는 사항과 기간 및 한도액은 다음과 </t>
    <phoneticPr fontId="2" type="noConversion"/>
  </si>
  <si>
    <t>같이 정한다.</t>
    <phoneticPr fontId="2" type="noConversion"/>
  </si>
  <si>
    <t>제7조(공사채 등) 해당사항 없음</t>
    <phoneticPr fontId="2" type="noConversion"/>
  </si>
  <si>
    <t>제8조(일시차입금) 해당사항 없음</t>
    <phoneticPr fontId="2" type="noConversion"/>
  </si>
  <si>
    <t>제9조(예산전용금지과목) 다음에 게기하는 과목의 경비는 이사회의 의결을 거치지 않고</t>
    <phoneticPr fontId="2" type="noConversion"/>
  </si>
  <si>
    <t>는 그 경비를 전용할 수 없다.</t>
    <phoneticPr fontId="2" type="noConversion"/>
  </si>
  <si>
    <t xml:space="preserve">   (1) 인  건  비</t>
    <phoneticPr fontId="2" type="noConversion"/>
  </si>
  <si>
    <t xml:space="preserve">   (2) 업무추진비(타 비목으로부터의 전용금지)</t>
    <phoneticPr fontId="2" type="noConversion"/>
  </si>
  <si>
    <t>제10조(대행사업 경비)</t>
    <phoneticPr fontId="2" type="noConversion"/>
  </si>
  <si>
    <t>제11조(중요자산취득 및 처분) 중요자산의 취득 및 처분은 다음과 같이 한다.</t>
    <phoneticPr fontId="2" type="noConversion"/>
  </si>
  <si>
    <t>­ 주교지원금</t>
    <phoneticPr fontId="2" type="noConversion"/>
  </si>
  <si>
    <t>­ 재단지원금</t>
    <phoneticPr fontId="7" type="noConversion"/>
  </si>
  <si>
    <t>­ 성사지원금</t>
    <phoneticPr fontId="2" type="noConversion"/>
  </si>
  <si>
    <t>­ 일산서구지원금</t>
    <phoneticPr fontId="2" type="noConversion"/>
  </si>
  <si>
    <t>­ 토당지원금</t>
    <phoneticPr fontId="2" type="noConversion"/>
  </si>
  <si>
    <t>ㅇ고양시위탁보조금</t>
    <phoneticPr fontId="2" type="noConversion"/>
  </si>
  <si>
    <t>­ 상담지원금</t>
    <phoneticPr fontId="2" type="noConversion"/>
  </si>
  <si>
    <t>­ 화정지원금</t>
    <phoneticPr fontId="2" type="noConversion"/>
  </si>
  <si>
    <t>­ 백마지원금</t>
    <phoneticPr fontId="2" type="noConversion"/>
  </si>
  <si>
    <t>­ 능곡지원금</t>
    <phoneticPr fontId="2" type="noConversion"/>
  </si>
  <si>
    <t>ㅇ자판기사업</t>
    <phoneticPr fontId="2" type="noConversion"/>
  </si>
  <si>
    <t>제2조(업무의 연간 예정량) 2018년도 업무의 예정량은 다음과 같다.</t>
    <phoneticPr fontId="2" type="noConversion"/>
  </si>
  <si>
    <t xml:space="preserve">  나. 청소년 전용시설로서 종합적인 청소년 활동 지원
    - 청소년자치활동사업 운영, 청소년열린공간 운영, 평생교육 프로그램 운영 등</t>
    <phoneticPr fontId="2" type="noConversion"/>
  </si>
  <si>
    <t xml:space="preserve">  다. 진로탐색·작업체험 등 통합적 서비스 제공
    - 진로체험 및 진로교육 프로그램 운영, 지역기반 진로체험 협력시스템 구축 등</t>
    <phoneticPr fontId="2" type="noConversion"/>
  </si>
  <si>
    <t xml:space="preserve">  라. 자발적 참여를 통한 정보·문화·예술활동 지원
    - 청소년 주도적, 자발적 참여확대, 역량강화 프로그램, 문화감수성 향상 프로그램 등</t>
    <phoneticPr fontId="2" type="noConversion"/>
  </si>
  <si>
    <t xml:space="preserve">  마. 상담·긴급구조·자활·의료지원 서비스 제공
    - 위기청소년 맞춤형 지원서비스 강화, 상담프로그램 운영(개인, 집단) 등</t>
    <phoneticPr fontId="2" type="noConversion"/>
  </si>
  <si>
    <t xml:space="preserve">  바. 청소년들의 자율 활동 공간 제공
    - 청소년을 위한 문화컨텐츠 제공, 지역 네트워크 구축, 자율적 문화공간 운영 등</t>
    <phoneticPr fontId="2" type="noConversion"/>
  </si>
  <si>
    <t xml:space="preserve">  가. 청소년의 일상생활이 즐거운 활동생태계 조성
    - 청소년활동시설 관리·운영, 청소년지원 인프라 구축, 공모사업 운영 지원 등</t>
    <phoneticPr fontId="2" type="noConversion"/>
  </si>
  <si>
    <t>1. 예산총칙</t>
    <phoneticPr fontId="2" type="noConversion"/>
  </si>
  <si>
    <t>2018년 세입예산서(안)</t>
    <phoneticPr fontId="2" type="noConversion"/>
  </si>
  <si>
    <t>2018년 세출예산서(안)</t>
    <phoneticPr fontId="2" type="noConversion"/>
  </si>
  <si>
    <t>2018년 세출예산(안) 총괄표</t>
    <phoneticPr fontId="7" type="noConversion"/>
  </si>
  <si>
    <t>2018년 세입예산 규모</t>
    <phoneticPr fontId="7" type="noConversion"/>
  </si>
  <si>
    <t>2018년 세입예산(안) 총괄표</t>
    <phoneticPr fontId="7" type="noConversion"/>
  </si>
  <si>
    <t>주교동청소년카페</t>
    <phoneticPr fontId="2" type="noConversion"/>
  </si>
  <si>
    <t>171-1 순세계잉여금</t>
    <phoneticPr fontId="7" type="noConversion"/>
  </si>
  <si>
    <t>172-3 전년도이월사업비</t>
    <phoneticPr fontId="2" type="noConversion"/>
  </si>
  <si>
    <t>=</t>
    <phoneticPr fontId="2" type="noConversion"/>
  </si>
  <si>
    <t>=</t>
    <phoneticPr fontId="2" type="noConversion"/>
  </si>
  <si>
    <t>=</t>
    <phoneticPr fontId="2" type="noConversion"/>
  </si>
  <si>
    <t>=</t>
    <phoneticPr fontId="2" type="noConversion"/>
  </si>
  <si>
    <t>=</t>
    <phoneticPr fontId="2" type="noConversion"/>
  </si>
  <si>
    <t>722-2 진로교육지원</t>
    <phoneticPr fontId="2" type="noConversion"/>
  </si>
  <si>
    <t>722-3 청소년권리증진</t>
    <phoneticPr fontId="2" type="noConversion"/>
  </si>
  <si>
    <t>722-1 지역사회 협력</t>
    <phoneticPr fontId="2" type="noConversion"/>
  </si>
  <si>
    <t>731-1 청소년 참여와 활동 사업</t>
    <phoneticPr fontId="2" type="noConversion"/>
  </si>
  <si>
    <t>731-2 지역사회 연계와 협력</t>
    <phoneticPr fontId="2" type="noConversion"/>
  </si>
  <si>
    <t>722-1 청소년 참여와 활동 사업</t>
    <phoneticPr fontId="2" type="noConversion"/>
  </si>
  <si>
    <t>722-2 청소년 보호와 안전</t>
    <phoneticPr fontId="2" type="noConversion"/>
  </si>
  <si>
    <t>722-1 청소년사업비</t>
    <phoneticPr fontId="2" type="noConversion"/>
  </si>
  <si>
    <t>○ 일산서구청소년수련관</t>
    <phoneticPr fontId="2" type="noConversion"/>
  </si>
  <si>
    <t>722-1 청소년 참여</t>
    <phoneticPr fontId="2" type="noConversion"/>
  </si>
  <si>
    <t>722-2 참여를 통한 권리증진</t>
    <phoneticPr fontId="2" type="noConversion"/>
  </si>
  <si>
    <t>722-3 민주시민역량강화</t>
    <phoneticPr fontId="2" type="noConversion"/>
  </si>
  <si>
    <t>722-4 청소년 보호와 안전</t>
    <phoneticPr fontId="2" type="noConversion"/>
  </si>
  <si>
    <t>722-5 청소년활동의 세계화</t>
    <phoneticPr fontId="2" type="noConversion"/>
  </si>
  <si>
    <t>722-6 지역사회 네트워킹</t>
    <phoneticPr fontId="2" type="noConversion"/>
  </si>
  <si>
    <t>­ 청소용소모품비</t>
    <phoneticPr fontId="2" type="noConversion"/>
  </si>
  <si>
    <t>­ 기타부담금(발송비-우편, 택배)</t>
    <phoneticPr fontId="2" type="noConversion"/>
  </si>
  <si>
    <t>ㅇ기본급</t>
    <phoneticPr fontId="2" type="noConversion"/>
  </si>
  <si>
    <t>ㅇ정액급식비</t>
    <phoneticPr fontId="2" type="noConversion"/>
  </si>
  <si>
    <t>ㅇ장기근속수당</t>
    <phoneticPr fontId="2" type="noConversion"/>
  </si>
  <si>
    <t>ㅇ기말수당</t>
    <phoneticPr fontId="2" type="noConversion"/>
  </si>
  <si>
    <t>ㅇ가계지원비</t>
    <phoneticPr fontId="2" type="noConversion"/>
  </si>
  <si>
    <t xml:space="preserve"> ㅇ교통비</t>
    <phoneticPr fontId="2" type="noConversion"/>
  </si>
  <si>
    <t>ㅇ자격수당</t>
    <phoneticPr fontId="2" type="noConversion"/>
  </si>
  <si>
    <t>­ 퇴직급여충당금</t>
    <phoneticPr fontId="2" type="noConversion"/>
  </si>
  <si>
    <t>­ 팀장(6급10호,11호)-예산,인사</t>
    <phoneticPr fontId="2" type="noConversion"/>
  </si>
  <si>
    <t>­ 관장</t>
    <phoneticPr fontId="2" type="noConversion"/>
  </si>
  <si>
    <t>­ 소장</t>
    <phoneticPr fontId="2" type="noConversion"/>
  </si>
  <si>
    <t>­ 팀장 1</t>
    <phoneticPr fontId="2" type="noConversion"/>
  </si>
  <si>
    <t>­ 팀장 1</t>
    <phoneticPr fontId="2" type="noConversion"/>
  </si>
  <si>
    <t>­ 팀장 2</t>
    <phoneticPr fontId="2" type="noConversion"/>
  </si>
  <si>
    <t>­ 팀장 2</t>
    <phoneticPr fontId="2" type="noConversion"/>
  </si>
  <si>
    <t>­ 팀원</t>
    <phoneticPr fontId="2" type="noConversion"/>
  </si>
  <si>
    <t>­ 행정원</t>
    <phoneticPr fontId="2" type="noConversion"/>
  </si>
  <si>
    <t>­ 행정원</t>
    <phoneticPr fontId="2" type="noConversion"/>
  </si>
  <si>
    <t>­ 소장</t>
    <phoneticPr fontId="2" type="noConversion"/>
  </si>
  <si>
    <t>­ 팀장</t>
    <phoneticPr fontId="2" type="noConversion"/>
  </si>
  <si>
    <t>­ 팀원</t>
    <phoneticPr fontId="2" type="noConversion"/>
  </si>
  <si>
    <t>­ 행정원</t>
    <phoneticPr fontId="2" type="noConversion"/>
  </si>
  <si>
    <t>­ 소장,팀장1명</t>
    <phoneticPr fontId="2" type="noConversion"/>
  </si>
  <si>
    <t>­ 팀장</t>
    <phoneticPr fontId="2" type="noConversion"/>
  </si>
  <si>
    <t>­ 소장</t>
    <phoneticPr fontId="2" type="noConversion"/>
  </si>
  <si>
    <t>­ 급식비</t>
    <phoneticPr fontId="2" type="noConversion"/>
  </si>
  <si>
    <t>­ 소장,팀장2명</t>
    <phoneticPr fontId="2" type="noConversion"/>
  </si>
  <si>
    <t xml:space="preserve">­ 자격수당 </t>
    <phoneticPr fontId="2" type="noConversion"/>
  </si>
  <si>
    <t xml:space="preserve">­ 회계수당 </t>
    <phoneticPr fontId="2" type="noConversion"/>
  </si>
  <si>
    <t>­ 교통비</t>
    <phoneticPr fontId="2" type="noConversion"/>
  </si>
  <si>
    <t>고양시청소년상담복지센터</t>
    <phoneticPr fontId="2" type="noConversion"/>
  </si>
  <si>
    <t>- 도서 및 보드게임 외 구입비</t>
    <phoneticPr fontId="2" type="noConversion"/>
  </si>
  <si>
    <t>- 환경개선용 화분 및 식물조성</t>
    <phoneticPr fontId="2" type="noConversion"/>
  </si>
  <si>
    <t>- 영화읽기, 세상읽기</t>
    <phoneticPr fontId="2" type="noConversion"/>
  </si>
  <si>
    <t>- 무료음료제공</t>
    <phoneticPr fontId="2" type="noConversion"/>
  </si>
  <si>
    <t>ㅇ청소년 자율적 문화공간 운영사업</t>
    <phoneticPr fontId="2" type="noConversion"/>
  </si>
  <si>
    <t>ㅇ지역 일자리사업</t>
    <phoneticPr fontId="2" type="noConversion"/>
  </si>
  <si>
    <t>ㅇ홍보사업</t>
    <phoneticPr fontId="2" type="noConversion"/>
  </si>
  <si>
    <t>- 인문학교실</t>
    <phoneticPr fontId="2" type="noConversion"/>
  </si>
  <si>
    <t>- 옷, 패션, 바느질(의생활)</t>
    <phoneticPr fontId="2" type="noConversion"/>
  </si>
  <si>
    <t>- 요리, 먹거리, 환경(식생활)</t>
    <phoneticPr fontId="2" type="noConversion"/>
  </si>
  <si>
    <t>- 목공, 정리, 도구(주생활)</t>
    <phoneticPr fontId="2" type="noConversion"/>
  </si>
  <si>
    <t>ㅇ청소년자립을 위한 애프터 스쿨</t>
    <phoneticPr fontId="2" type="noConversion"/>
  </si>
  <si>
    <t>- 학습멘토링</t>
    <phoneticPr fontId="2" type="noConversion"/>
  </si>
  <si>
    <t xml:space="preserve">- 자원봉사멘토링 </t>
    <phoneticPr fontId="2" type="noConversion"/>
  </si>
  <si>
    <t>- 상담 동아리 및 멘토링</t>
    <phoneticPr fontId="2" type="noConversion"/>
  </si>
  <si>
    <t>- 기자단 동아리</t>
    <phoneticPr fontId="2" type="noConversion"/>
  </si>
  <si>
    <t>ㅇ청소년 자치활동 사업</t>
    <phoneticPr fontId="2" type="noConversion"/>
  </si>
  <si>
    <t>- 청소년 운영위원회</t>
    <phoneticPr fontId="2" type="noConversion"/>
  </si>
  <si>
    <t>- 마을 운영위원회</t>
    <phoneticPr fontId="2" type="noConversion"/>
  </si>
  <si>
    <t>ㅇ톡톡톡 지킴이 사업</t>
    <phoneticPr fontId="2" type="noConversion"/>
  </si>
  <si>
    <t>­ 시설비품비</t>
    <phoneticPr fontId="2" type="noConversion"/>
  </si>
  <si>
    <t>­ 컨텐츠구입비</t>
    <phoneticPr fontId="2" type="noConversion"/>
  </si>
  <si>
    <t>­ 소모품비</t>
    <phoneticPr fontId="2" type="noConversion"/>
  </si>
  <si>
    <t>­ 전기요금</t>
    <phoneticPr fontId="2" type="noConversion"/>
  </si>
  <si>
    <t>- 시간외및당직근무수당</t>
    <phoneticPr fontId="2" type="noConversion"/>
  </si>
  <si>
    <t>○ 백마역청소년카페</t>
    <phoneticPr fontId="2" type="noConversion"/>
  </si>
  <si>
    <t>○ 능곡역청소년카페</t>
    <phoneticPr fontId="2" type="noConversion"/>
  </si>
  <si>
    <t>백마역청소년카페</t>
  </si>
  <si>
    <t>능곡역청소년카페</t>
  </si>
  <si>
    <t>제1조(총칙) 2018년도 재단법인 고양시청소년재단의 본예산은 다음과 같이 정한다.</t>
    <phoneticPr fontId="2" type="noConversion"/>
  </si>
  <si>
    <r>
      <t xml:space="preserve">    ­ </t>
    </r>
    <r>
      <rPr>
        <sz val="9"/>
        <color theme="1"/>
        <rFont val="맑은 고딕"/>
        <family val="3"/>
        <charset val="129"/>
        <scheme val="major"/>
      </rPr>
      <t>통기타, 클래식기타, 우크렐레</t>
    </r>
    <phoneticPr fontId="2" type="noConversion"/>
  </si>
  <si>
    <r>
      <t>­ 업무추진비</t>
    </r>
    <r>
      <rPr>
        <sz val="8"/>
        <color theme="1"/>
        <rFont val="맑은 고딕"/>
        <family val="3"/>
        <charset val="129"/>
        <scheme val="major"/>
      </rPr>
      <t>(직원회식비,상담차구입)</t>
    </r>
    <phoneticPr fontId="2" type="noConversion"/>
  </si>
  <si>
    <r>
      <t>­ 위탁교육비</t>
    </r>
    <r>
      <rPr>
        <sz val="8"/>
        <color theme="1"/>
        <rFont val="맑은 고딕"/>
        <family val="3"/>
        <charset val="129"/>
        <scheme val="major"/>
      </rPr>
      <t>(직원역량교육,의무교육)</t>
    </r>
    <phoneticPr fontId="2" type="noConversion"/>
  </si>
  <si>
    <t>○ 고양시청소년진로센터</t>
    <phoneticPr fontId="2" type="noConversion"/>
  </si>
  <si>
    <t>○ 마두청소년수련관</t>
    <phoneticPr fontId="2" type="noConversion"/>
  </si>
  <si>
    <t>2018년 세출예산(안) 총괄표</t>
    <phoneticPr fontId="7" type="noConversion"/>
  </si>
  <si>
    <t>2018년 세입·세출예산(안) 요약 총괄표</t>
    <phoneticPr fontId="7" type="noConversion"/>
  </si>
  <si>
    <t>2018년 세입·세출예산(안) 총괄표</t>
    <phoneticPr fontId="7" type="noConversion"/>
  </si>
  <si>
    <t>청소년(3개월)</t>
    <phoneticPr fontId="2" type="noConversion"/>
  </si>
  <si>
    <t>­ 활동참가비(청소년)</t>
    <phoneticPr fontId="2" type="noConversion"/>
  </si>
  <si>
    <t>­ 학부모교육비</t>
    <phoneticPr fontId="2" type="noConversion"/>
  </si>
  <si>
    <t xml:space="preserve">   - 자원봉사학교</t>
    <phoneticPr fontId="2" type="noConversion"/>
  </si>
  <si>
    <t xml:space="preserve">   - 마을학교</t>
    <phoneticPr fontId="2" type="noConversion"/>
  </si>
  <si>
    <t xml:space="preserve">   - 청소년시민학교</t>
    <phoneticPr fontId="2" type="noConversion"/>
  </si>
  <si>
    <t xml:space="preserve">   - 사회참여활동</t>
    <phoneticPr fontId="2" type="noConversion"/>
  </si>
  <si>
    <t xml:space="preserve">   - 역사활동</t>
    <phoneticPr fontId="2" type="noConversion"/>
  </si>
  <si>
    <t xml:space="preserve">   - 세대소통</t>
    <phoneticPr fontId="2" type="noConversion"/>
  </si>
  <si>
    <t xml:space="preserve">   - 평화통일학술캠프</t>
    <phoneticPr fontId="2" type="noConversion"/>
  </si>
  <si>
    <t xml:space="preserve">   - 연합활동비</t>
    <phoneticPr fontId="2" type="noConversion"/>
  </si>
  <si>
    <t xml:space="preserve">   - 학술활동지원</t>
    <phoneticPr fontId="2" type="noConversion"/>
  </si>
  <si>
    <t xml:space="preserve">   - 창의적체험활동</t>
    <phoneticPr fontId="2" type="noConversion"/>
  </si>
  <si>
    <t xml:space="preserve">   - 프로젝트학교연계(멘토링, 바꾸로 등)</t>
    <phoneticPr fontId="2" type="noConversion"/>
  </si>
  <si>
    <t xml:space="preserve">   - 조사운영비</t>
    <phoneticPr fontId="2" type="noConversion"/>
  </si>
  <si>
    <t xml:space="preserve">   - 정책토론회</t>
    <phoneticPr fontId="2" type="noConversion"/>
  </si>
  <si>
    <t xml:space="preserve">   - 청소년합의회의 운영비</t>
    <phoneticPr fontId="2" type="noConversion"/>
  </si>
  <si>
    <t xml:space="preserve">   - 회원관리프로그램운영비</t>
    <phoneticPr fontId="2" type="noConversion"/>
  </si>
  <si>
    <t>- 시간외및당직근무수당(방과후)</t>
    <phoneticPr fontId="2" type="noConversion"/>
  </si>
  <si>
    <t>­ SMS 전송비</t>
    <phoneticPr fontId="2" type="noConversion"/>
  </si>
  <si>
    <t>2018년 세입·세출예산(안)</t>
    <phoneticPr fontId="2" type="noConversion"/>
  </si>
  <si>
    <t>○ 2018년 세입예산규모</t>
    <phoneticPr fontId="2" type="noConversion"/>
  </si>
  <si>
    <t>○ 사무국</t>
    <phoneticPr fontId="2" type="noConversion"/>
  </si>
  <si>
    <t>○ 2018년 세입예산(안) 총괄표</t>
    <phoneticPr fontId="2" type="noConversion"/>
  </si>
  <si>
    <t>○ 2018년 세출예산(안) 총괄표</t>
    <phoneticPr fontId="2" type="noConversion"/>
  </si>
  <si>
    <t>○ 2018년 세입·세출예산(안) 요약 총괄표</t>
    <phoneticPr fontId="2" type="noConversion"/>
  </si>
  <si>
    <t>720 목적사업비</t>
  </si>
  <si>
    <t>405 자산취득비</t>
  </si>
  <si>
    <t>713 성과급</t>
  </si>
  <si>
    <t>801-1 예비비(차기년도이월금)</t>
  </si>
  <si>
    <t xml:space="preserve"> 증 감(A-B)</t>
  </si>
  <si>
    <t xml:space="preserve"> 증 감(A-B)</t>
    <phoneticPr fontId="7" type="noConversion"/>
  </si>
  <si>
    <t>700 사업비용</t>
    <phoneticPr fontId="2" type="noConversion"/>
  </si>
  <si>
    <t>­ 청소 및 위생용 소모품비</t>
    <phoneticPr fontId="2" type="noConversion"/>
  </si>
  <si>
    <t>­ 지역난방료(냉난방)</t>
    <phoneticPr fontId="2" type="noConversion"/>
  </si>
  <si>
    <t>­ 상하수도요금</t>
    <phoneticPr fontId="2" type="noConversion"/>
  </si>
  <si>
    <t xml:space="preserve">   - 사무용품비</t>
    <phoneticPr fontId="2" type="noConversion"/>
  </si>
  <si>
    <r>
      <t xml:space="preserve">   - 소모품비</t>
    </r>
    <r>
      <rPr>
        <sz val="7.5"/>
        <color theme="1"/>
        <rFont val="맑은 고딕"/>
        <family val="3"/>
        <charset val="129"/>
        <scheme val="major"/>
      </rPr>
      <t>(볼펜, 없어지는물건, 약품구입비)</t>
    </r>
    <phoneticPr fontId="2" type="noConversion"/>
  </si>
  <si>
    <t xml:space="preserve">   - 청소용품비</t>
    <phoneticPr fontId="2" type="noConversion"/>
  </si>
  <si>
    <t xml:space="preserve">   - 위생용품비</t>
    <phoneticPr fontId="2" type="noConversion"/>
  </si>
  <si>
    <t>­ 자료 인쇄물비, 직원명함 ,명찰</t>
    <phoneticPr fontId="2" type="noConversion"/>
  </si>
  <si>
    <t>○ 2018년 세입·세출예산(안) 총괄표</t>
    <phoneticPr fontId="2" type="noConversion"/>
  </si>
  <si>
    <t>세입예산 사업내역서</t>
    <phoneticPr fontId="2" type="noConversion"/>
  </si>
  <si>
    <t>세출예산 사업내역서</t>
    <phoneticPr fontId="2" type="noConversion"/>
  </si>
  <si>
    <t>인건비</t>
    <phoneticPr fontId="2" type="noConversion"/>
  </si>
  <si>
    <t>경비</t>
    <phoneticPr fontId="2" type="noConversion"/>
  </si>
  <si>
    <t>자산취득비</t>
    <phoneticPr fontId="2" type="noConversion"/>
  </si>
  <si>
    <t>성과급</t>
    <phoneticPr fontId="2" type="noConversion"/>
  </si>
  <si>
    <t>재산적립</t>
    <phoneticPr fontId="2" type="noConversion"/>
  </si>
  <si>
    <t>사업비</t>
    <phoneticPr fontId="2" type="noConversion"/>
  </si>
  <si>
    <t>예비비</t>
    <phoneticPr fontId="2" type="noConversion"/>
  </si>
  <si>
    <t>능곡역청소년카페</t>
    <phoneticPr fontId="2" type="noConversion"/>
  </si>
  <si>
    <t>자체사업수익</t>
  </si>
  <si>
    <t>기타영업수익</t>
  </si>
  <si>
    <t>판매수익</t>
  </si>
  <si>
    <t>이자수익</t>
  </si>
  <si>
    <t>보조금수익</t>
  </si>
  <si>
    <t>이월금</t>
  </si>
  <si>
    <t>인건비</t>
  </si>
  <si>
    <t>경비</t>
  </si>
  <si>
    <t>목적사업비</t>
  </si>
  <si>
    <t>자체사업비</t>
  </si>
  <si>
    <t>기타영업외비용</t>
  </si>
  <si>
    <t>구성비</t>
    <phoneticPr fontId="2" type="noConversion"/>
  </si>
  <si>
    <t>합계</t>
    <phoneticPr fontId="2" type="noConversion"/>
  </si>
  <si>
    <t>합계</t>
    <phoneticPr fontId="2" type="noConversion"/>
  </si>
  <si>
    <t>증감</t>
    <phoneticPr fontId="2" type="noConversion"/>
  </si>
  <si>
    <t>백마역청소년카페</t>
    <phoneticPr fontId="2" type="noConversion"/>
  </si>
  <si>
    <t>화정역청소년카페</t>
    <phoneticPr fontId="2" type="noConversion"/>
  </si>
  <si>
    <t>기부금수익</t>
    <phoneticPr fontId="2" type="noConversion"/>
  </si>
  <si>
    <t>사업비</t>
  </si>
  <si>
    <t>자산취득비</t>
  </si>
  <si>
    <t>성과급</t>
  </si>
  <si>
    <t>재산적립</t>
  </si>
  <si>
    <t>예비비</t>
  </si>
  <si>
    <t>출연금</t>
    <phoneticPr fontId="2" type="noConversion"/>
  </si>
  <si>
    <t>이자</t>
    <phoneticPr fontId="2" type="noConversion"/>
  </si>
  <si>
    <t>기부금</t>
    <phoneticPr fontId="2" type="noConversion"/>
  </si>
  <si>
    <t>자체사업</t>
    <phoneticPr fontId="2" type="noConversion"/>
  </si>
  <si>
    <t>기타영업</t>
    <phoneticPr fontId="2" type="noConversion"/>
  </si>
  <si>
    <t>판매수익</t>
    <phoneticPr fontId="2" type="noConversion"/>
  </si>
  <si>
    <t>이월금</t>
    <phoneticPr fontId="2" type="noConversion"/>
  </si>
  <si>
    <t>전입금</t>
    <phoneticPr fontId="2" type="noConversion"/>
  </si>
  <si>
    <t>마두청소년수련관</t>
    <phoneticPr fontId="2" type="noConversion"/>
  </si>
  <si>
    <t>ㅂ</t>
    <phoneticPr fontId="2" type="noConversion"/>
  </si>
  <si>
    <t>고양시청소년재단사무국</t>
    <phoneticPr fontId="2" type="noConversion"/>
  </si>
  <si>
    <t>성사청소년문화의집</t>
    <phoneticPr fontId="2" type="noConversion"/>
  </si>
  <si>
    <t>탄현청소년문화의집</t>
    <phoneticPr fontId="2" type="noConversion"/>
  </si>
  <si>
    <t>주교동청소년카페</t>
    <phoneticPr fontId="2" type="noConversion"/>
  </si>
  <si>
    <t>­ 운영비</t>
    <phoneticPr fontId="2" type="noConversion"/>
  </si>
  <si>
    <t>­ 홍보비</t>
    <phoneticPr fontId="2" type="noConversion"/>
  </si>
  <si>
    <t>­ 민주시민교육</t>
    <phoneticPr fontId="2" type="noConversion"/>
  </si>
  <si>
    <t>­ 민주시민워크숍</t>
    <phoneticPr fontId="2" type="noConversion"/>
  </si>
  <si>
    <t>­ 토론회</t>
    <phoneticPr fontId="2" type="noConversion"/>
  </si>
  <si>
    <t>­ 웹진초기구축비</t>
    <phoneticPr fontId="2" type="noConversion"/>
  </si>
  <si>
    <t>­ 웹진정기발간및운영비</t>
    <phoneticPr fontId="2" type="noConversion"/>
  </si>
  <si>
    <t>­ 기념품제작비</t>
    <phoneticPr fontId="2" type="noConversion"/>
  </si>
  <si>
    <t>­ 인건비</t>
    <phoneticPr fontId="2" type="noConversion"/>
  </si>
  <si>
    <t>­ 꿈길지원단협의회운영비</t>
    <phoneticPr fontId="2" type="noConversion"/>
  </si>
  <si>
    <t>­ 홍보물제작비</t>
    <phoneticPr fontId="2" type="noConversion"/>
  </si>
  <si>
    <t>­ 컨설팅활동비</t>
    <phoneticPr fontId="2" type="noConversion"/>
  </si>
  <si>
    <t>­ 안전점검활동비</t>
    <phoneticPr fontId="2" type="noConversion"/>
  </si>
  <si>
    <t>­ 평가회및포상비</t>
    <phoneticPr fontId="2" type="noConversion"/>
  </si>
  <si>
    <t>­ 대학생멘토강사비</t>
    <phoneticPr fontId="2" type="noConversion"/>
  </si>
  <si>
    <t>­ 멘토단운영비</t>
    <phoneticPr fontId="2" type="noConversion"/>
  </si>
  <si>
    <t>­ 학부모지원단설명회</t>
    <phoneticPr fontId="2" type="noConversion"/>
  </si>
  <si>
    <t>­ 진로코칭집합연수</t>
    <phoneticPr fontId="2" type="noConversion"/>
  </si>
  <si>
    <t>­ 심화연수</t>
    <phoneticPr fontId="2" type="noConversion"/>
  </si>
  <si>
    <t>­ 보수교육</t>
    <phoneticPr fontId="2" type="noConversion"/>
  </si>
  <si>
    <t>­ 분과활동비</t>
    <phoneticPr fontId="2" type="noConversion"/>
  </si>
  <si>
    <t>­ 정기회의비</t>
    <phoneticPr fontId="2" type="noConversion"/>
  </si>
  <si>
    <t>­ 평가및송년회</t>
    <phoneticPr fontId="2" type="noConversion"/>
  </si>
  <si>
    <t>­ 진로교사협의회회의비</t>
    <phoneticPr fontId="2" type="noConversion"/>
  </si>
  <si>
    <t>­ 진로교사연수진행</t>
    <phoneticPr fontId="2" type="noConversion"/>
  </si>
  <si>
    <t>­ 진로교육협의회물품구입비</t>
    <phoneticPr fontId="2" type="noConversion"/>
  </si>
  <si>
    <t>­ 진로교사협의회홍보비</t>
    <phoneticPr fontId="2" type="noConversion"/>
  </si>
  <si>
    <t>­ 물품구입비</t>
    <phoneticPr fontId="2" type="noConversion"/>
  </si>
  <si>
    <t>­ 오프닝공연</t>
    <phoneticPr fontId="2" type="noConversion"/>
  </si>
  <si>
    <t>­ 회의비(설명회,간담회)</t>
    <phoneticPr fontId="2" type="noConversion"/>
  </si>
  <si>
    <t>­ 운영비</t>
    <phoneticPr fontId="2" type="noConversion"/>
  </si>
  <si>
    <t>­ 기업가정신교육비</t>
    <phoneticPr fontId="2" type="noConversion"/>
  </si>
  <si>
    <t>­ 직업인멘토링운영비</t>
    <phoneticPr fontId="2" type="noConversion"/>
  </si>
  <si>
    <t>­ 공모전운영비</t>
    <phoneticPr fontId="2" type="noConversion"/>
  </si>
  <si>
    <t>­ 사업운영비</t>
    <phoneticPr fontId="2" type="noConversion"/>
  </si>
  <si>
    <t>­ 직업역량교육비</t>
    <phoneticPr fontId="2" type="noConversion"/>
  </si>
  <si>
    <t>­ 공연팀섭외</t>
    <phoneticPr fontId="2" type="noConversion"/>
  </si>
  <si>
    <t>­ 홍보비</t>
    <phoneticPr fontId="2" type="noConversion"/>
  </si>
  <si>
    <t>­ 회의비</t>
    <phoneticPr fontId="2" type="noConversion"/>
  </si>
  <si>
    <t>­ 행복한진로상담비용</t>
    <phoneticPr fontId="2" type="noConversion"/>
  </si>
  <si>
    <t>­ 학교로찾아가는진로상담비용</t>
    <phoneticPr fontId="2" type="noConversion"/>
  </si>
  <si>
    <t>­ 물품구입비</t>
    <phoneticPr fontId="2" type="noConversion"/>
  </si>
  <si>
    <t>­ 홍보비</t>
    <phoneticPr fontId="2" type="noConversion"/>
  </si>
  <si>
    <t>­ 연구용역비</t>
    <phoneticPr fontId="2" type="noConversion"/>
  </si>
  <si>
    <t xml:space="preserve">      · 학교동아리연계및발굴</t>
    <phoneticPr fontId="2" type="noConversion"/>
  </si>
  <si>
    <t xml:space="preserve">      · 지역자원발굴</t>
    <phoneticPr fontId="2" type="noConversion"/>
  </si>
  <si>
    <t xml:space="preserve">      · 물품구입</t>
    <phoneticPr fontId="2" type="noConversion"/>
  </si>
  <si>
    <t xml:space="preserve">      · 홍보비</t>
    <phoneticPr fontId="2" type="noConversion"/>
  </si>
  <si>
    <t xml:space="preserve">      · 홍보비(현수막,배너등)</t>
    <phoneticPr fontId="2" type="noConversion"/>
  </si>
  <si>
    <t xml:space="preserve">      · 강사비</t>
    <phoneticPr fontId="2" type="noConversion"/>
  </si>
  <si>
    <t xml:space="preserve">      · 재료비</t>
    <phoneticPr fontId="2" type="noConversion"/>
  </si>
  <si>
    <t xml:space="preserve">      · 평가비</t>
    <phoneticPr fontId="2" type="noConversion"/>
  </si>
  <si>
    <t xml:space="preserve">      · 초청사업활동비</t>
    <phoneticPr fontId="2" type="noConversion"/>
  </si>
  <si>
    <t xml:space="preserve">      · 숙식비</t>
    <phoneticPr fontId="2" type="noConversion"/>
  </si>
  <si>
    <t xml:space="preserve">      · 사전회의</t>
    <phoneticPr fontId="2" type="noConversion"/>
  </si>
  <si>
    <t xml:space="preserve">      · 물품구매</t>
    <phoneticPr fontId="2" type="noConversion"/>
  </si>
  <si>
    <t xml:space="preserve">      · 심판비</t>
    <phoneticPr fontId="2" type="noConversion"/>
  </si>
  <si>
    <t xml:space="preserve">      · 운영비(대관비포함)</t>
    <phoneticPr fontId="2" type="noConversion"/>
  </si>
  <si>
    <t xml:space="preserve">      · 보험가입</t>
    <phoneticPr fontId="2" type="noConversion"/>
  </si>
  <si>
    <t xml:space="preserve">      · 시상품</t>
    <phoneticPr fontId="2" type="noConversion"/>
  </si>
  <si>
    <t xml:space="preserve">      · 현수막</t>
    <phoneticPr fontId="2" type="noConversion"/>
  </si>
  <si>
    <t xml:space="preserve">      · 재료비(문구류 등)</t>
    <phoneticPr fontId="2" type="noConversion"/>
  </si>
  <si>
    <t xml:space="preserve">      · 간식비</t>
    <phoneticPr fontId="2" type="noConversion"/>
  </si>
  <si>
    <t xml:space="preserve">      · 체험비(숙식,체험비등)</t>
    <phoneticPr fontId="2" type="noConversion"/>
  </si>
  <si>
    <t xml:space="preserve">      · 차량임차(45인승)</t>
    <phoneticPr fontId="2" type="noConversion"/>
  </si>
  <si>
    <t xml:space="preserve">      · 단체복</t>
    <phoneticPr fontId="2" type="noConversion"/>
  </si>
  <si>
    <t xml:space="preserve">      · 간식구입</t>
    <phoneticPr fontId="2" type="noConversion"/>
  </si>
  <si>
    <t xml:space="preserve">      · 보험비</t>
    <phoneticPr fontId="2" type="noConversion"/>
  </si>
  <si>
    <t xml:space="preserve">      · 평가회의비</t>
    <phoneticPr fontId="2" type="noConversion"/>
  </si>
  <si>
    <t xml:space="preserve">      · 현수막</t>
    <phoneticPr fontId="2" type="noConversion"/>
  </si>
  <si>
    <t xml:space="preserve">      · 워크숍강사비</t>
    <phoneticPr fontId="2" type="noConversion"/>
  </si>
  <si>
    <t xml:space="preserve">      · 체험활동비</t>
    <phoneticPr fontId="2" type="noConversion"/>
  </si>
  <si>
    <t xml:space="preserve">      · 재료비(문구류 등)</t>
    <phoneticPr fontId="2" type="noConversion"/>
  </si>
  <si>
    <t xml:space="preserve">      · 간식비</t>
    <phoneticPr fontId="2" type="noConversion"/>
  </si>
  <si>
    <t xml:space="preserve">      · 교육비</t>
    <phoneticPr fontId="2" type="noConversion"/>
  </si>
  <si>
    <t xml:space="preserve">      · 간식비</t>
    <phoneticPr fontId="2" type="noConversion"/>
  </si>
  <si>
    <t xml:space="preserve">      · 멘토링캠프</t>
    <phoneticPr fontId="2" type="noConversion"/>
  </si>
  <si>
    <t xml:space="preserve">      · 평가회의비</t>
    <phoneticPr fontId="2" type="noConversion"/>
  </si>
  <si>
    <t xml:space="preserve">      · 물품대여비</t>
    <phoneticPr fontId="2" type="noConversion"/>
  </si>
  <si>
    <t xml:space="preserve">      · 식사및다과비</t>
    <phoneticPr fontId="2" type="noConversion"/>
  </si>
  <si>
    <t xml:space="preserve">      · 기획교육</t>
    <phoneticPr fontId="2" type="noConversion"/>
  </si>
  <si>
    <t xml:space="preserve">      · 기획및평가회의</t>
    <phoneticPr fontId="2" type="noConversion"/>
  </si>
  <si>
    <t xml:space="preserve">      · 물품구입</t>
    <phoneticPr fontId="2" type="noConversion"/>
  </si>
  <si>
    <t xml:space="preserve">      · 회의비(다과)</t>
    <phoneticPr fontId="2" type="noConversion"/>
  </si>
  <si>
    <t xml:space="preserve">      · 활동비(식비)</t>
    <phoneticPr fontId="2" type="noConversion"/>
  </si>
  <si>
    <t xml:space="preserve">      · 재료비</t>
    <phoneticPr fontId="2" type="noConversion"/>
  </si>
  <si>
    <t xml:space="preserve">      · 홍보비</t>
    <phoneticPr fontId="2" type="noConversion"/>
  </si>
  <si>
    <t xml:space="preserve">      · 활동비(식비)</t>
    <phoneticPr fontId="2" type="noConversion"/>
  </si>
  <si>
    <t xml:space="preserve">      · 정기회의비</t>
    <phoneticPr fontId="2" type="noConversion"/>
  </si>
  <si>
    <t xml:space="preserve">      · 활동운영비(교육,교류,운영물품등)</t>
    <phoneticPr fontId="2" type="noConversion"/>
  </si>
  <si>
    <t xml:space="preserve">      · 발대식</t>
    <phoneticPr fontId="2" type="noConversion"/>
  </si>
  <si>
    <t xml:space="preserve">      · 특강강사비</t>
    <phoneticPr fontId="2" type="noConversion"/>
  </si>
  <si>
    <t xml:space="preserve">      · 동아리발표회</t>
    <phoneticPr fontId="2" type="noConversion"/>
  </si>
  <si>
    <t xml:space="preserve">      · 회의운영비</t>
    <phoneticPr fontId="2" type="noConversion"/>
  </si>
  <si>
    <t xml:space="preserve">      · 연합회진행</t>
    <phoneticPr fontId="2" type="noConversion"/>
  </si>
  <si>
    <t xml:space="preserve">      · 연합캠프진행</t>
    <phoneticPr fontId="2" type="noConversion"/>
  </si>
  <si>
    <t xml:space="preserve">      · 홍보비(현수막)</t>
    <phoneticPr fontId="2" type="noConversion"/>
  </si>
  <si>
    <t xml:space="preserve">      · 운영물품</t>
    <phoneticPr fontId="2" type="noConversion"/>
  </si>
  <si>
    <t xml:space="preserve">      · 운영물품</t>
    <phoneticPr fontId="2" type="noConversion"/>
  </si>
  <si>
    <t xml:space="preserve">      · 평가회의비</t>
    <phoneticPr fontId="2" type="noConversion"/>
  </si>
  <si>
    <t xml:space="preserve">      · 홍보비(현수막,배너)</t>
    <phoneticPr fontId="2" type="noConversion"/>
  </si>
  <si>
    <t xml:space="preserve">      · 재료비</t>
    <phoneticPr fontId="2" type="noConversion"/>
  </si>
  <si>
    <t xml:space="preserve">      · 간식비(다과)</t>
    <phoneticPr fontId="2" type="noConversion"/>
  </si>
  <si>
    <t xml:space="preserve">      · 캠프비</t>
    <phoneticPr fontId="2" type="noConversion"/>
  </si>
  <si>
    <t xml:space="preserve">      · 항공권</t>
    <phoneticPr fontId="2" type="noConversion"/>
  </si>
  <si>
    <t xml:space="preserve">      · 숙박비</t>
    <phoneticPr fontId="2" type="noConversion"/>
  </si>
  <si>
    <t xml:space="preserve">      · 간식비</t>
    <phoneticPr fontId="2" type="noConversion"/>
  </si>
  <si>
    <t xml:space="preserve">      · 식비</t>
    <phoneticPr fontId="2" type="noConversion"/>
  </si>
  <si>
    <t xml:space="preserve">      · 교통비,입장료등</t>
    <phoneticPr fontId="2" type="noConversion"/>
  </si>
  <si>
    <t xml:space="preserve">      · 제노사이드박물관탐방</t>
    <phoneticPr fontId="2" type="noConversion"/>
  </si>
  <si>
    <t xml:space="preserve">      · 홍보비(현수막)</t>
    <phoneticPr fontId="2" type="noConversion"/>
  </si>
  <si>
    <t xml:space="preserve">      · 봉사활동진행비</t>
    <phoneticPr fontId="2" type="noConversion"/>
  </si>
  <si>
    <t xml:space="preserve">      · 강사비</t>
    <phoneticPr fontId="2" type="noConversion"/>
  </si>
  <si>
    <t xml:space="preserve">      · 재료비</t>
    <phoneticPr fontId="2" type="noConversion"/>
  </si>
  <si>
    <t xml:space="preserve">      · 홍보비(현수막)</t>
    <phoneticPr fontId="2" type="noConversion"/>
  </si>
  <si>
    <t xml:space="preserve">      · 상품구입비</t>
    <phoneticPr fontId="2" type="noConversion"/>
  </si>
  <si>
    <t xml:space="preserve">      · 공모전진행비</t>
    <phoneticPr fontId="2" type="noConversion"/>
  </si>
  <si>
    <t xml:space="preserve">      · 공간조성비</t>
    <phoneticPr fontId="2" type="noConversion"/>
  </si>
  <si>
    <t xml:space="preserve">      · 평가회의비</t>
    <phoneticPr fontId="2" type="noConversion"/>
  </si>
  <si>
    <t xml:space="preserve">      · 활동운영비</t>
    <phoneticPr fontId="2" type="noConversion"/>
  </si>
  <si>
    <t xml:space="preserve">      · 캠프진행비</t>
    <phoneticPr fontId="2" type="noConversion"/>
  </si>
  <si>
    <t xml:space="preserve">      · 물품구입비</t>
    <phoneticPr fontId="2" type="noConversion"/>
  </si>
  <si>
    <t xml:space="preserve">      · 회의비(수당,경비)</t>
    <phoneticPr fontId="2" type="noConversion"/>
  </si>
  <si>
    <t xml:space="preserve">      · 홍보비</t>
    <phoneticPr fontId="2" type="noConversion"/>
  </si>
  <si>
    <t xml:space="preserve">      · 물품구입비</t>
    <phoneticPr fontId="2" type="noConversion"/>
  </si>
  <si>
    <t xml:space="preserve">      · 상품구입비</t>
    <phoneticPr fontId="2" type="noConversion"/>
  </si>
  <si>
    <t xml:space="preserve">      · 도서제작비</t>
    <phoneticPr fontId="2" type="noConversion"/>
  </si>
  <si>
    <t xml:space="preserve">      · 회의비</t>
    <phoneticPr fontId="2" type="noConversion"/>
  </si>
  <si>
    <t xml:space="preserve">      · 진행비</t>
    <phoneticPr fontId="2" type="noConversion"/>
  </si>
  <si>
    <t xml:space="preserve">      · 자문회의비</t>
    <phoneticPr fontId="2" type="noConversion"/>
  </si>
  <si>
    <t xml:space="preserve">      · 제작비</t>
    <phoneticPr fontId="2" type="noConversion"/>
  </si>
  <si>
    <t xml:space="preserve">      · 주교동청소년카페시설운영</t>
    <phoneticPr fontId="2" type="noConversion"/>
  </si>
  <si>
    <t xml:space="preserve">      · 청소년방학특강</t>
    <phoneticPr fontId="2" type="noConversion"/>
  </si>
  <si>
    <t xml:space="preserve">      · 지역동아리활성화</t>
    <phoneticPr fontId="2" type="noConversion"/>
  </si>
  <si>
    <t xml:space="preserve">      · 청소년멘토-멘티</t>
    <phoneticPr fontId="2" type="noConversion"/>
  </si>
  <si>
    <t xml:space="preserve">      · 지역사회연계</t>
    <phoneticPr fontId="2" type="noConversion"/>
  </si>
  <si>
    <t xml:space="preserve">          · 흙, 모종, 재료비 등</t>
    <phoneticPr fontId="2" type="noConversion"/>
  </si>
  <si>
    <t xml:space="preserve">          · 청소용품 등</t>
    <phoneticPr fontId="2" type="noConversion"/>
  </si>
  <si>
    <t xml:space="preserve">          · 타일, 물감, 수공료, 재료비 등</t>
    <phoneticPr fontId="2" type="noConversion"/>
  </si>
  <si>
    <t xml:space="preserve">          · 호미, 괭이, 영양공급제, 씨앗 등</t>
    <phoneticPr fontId="2" type="noConversion"/>
  </si>
  <si>
    <t xml:space="preserve">          · 동계대비 방한제 등</t>
    <phoneticPr fontId="2" type="noConversion"/>
  </si>
  <si>
    <t xml:space="preserve">          · 재료비,간식비 등</t>
    <phoneticPr fontId="2" type="noConversion"/>
  </si>
  <si>
    <t xml:space="preserve">          · 2차 강사비</t>
    <phoneticPr fontId="2" type="noConversion"/>
  </si>
  <si>
    <t xml:space="preserve">   - 홍보비</t>
    <phoneticPr fontId="2" type="noConversion"/>
  </si>
  <si>
    <t>­ 식비</t>
    <phoneticPr fontId="2" type="noConversion"/>
  </si>
  <si>
    <t xml:space="preserve">      · 홍보비</t>
    <phoneticPr fontId="2" type="noConversion"/>
  </si>
  <si>
    <t xml:space="preserve">      · 운영비</t>
    <phoneticPr fontId="2" type="noConversion"/>
  </si>
  <si>
    <t xml:space="preserve">      · 진행비</t>
    <phoneticPr fontId="2" type="noConversion"/>
  </si>
  <si>
    <t xml:space="preserve">      · 항공비</t>
    <phoneticPr fontId="2" type="noConversion"/>
  </si>
  <si>
    <t xml:space="preserve">      · 운영비</t>
    <phoneticPr fontId="2" type="noConversion"/>
  </si>
  <si>
    <t>­ 청소년시설리플렛및사업보고서제작</t>
    <phoneticPr fontId="2" type="noConversion"/>
  </si>
  <si>
    <t>- 동아리실운영</t>
    <phoneticPr fontId="2" type="noConversion"/>
  </si>
  <si>
    <t xml:space="preserve">      · 홍보비</t>
    <phoneticPr fontId="2" type="noConversion"/>
  </si>
  <si>
    <t xml:space="preserve">      · 운영비</t>
    <phoneticPr fontId="2" type="noConversion"/>
  </si>
  <si>
    <t xml:space="preserve">      · 진행비</t>
    <phoneticPr fontId="2" type="noConversion"/>
  </si>
  <si>
    <t>­ DB페이지 구축</t>
    <phoneticPr fontId="2" type="noConversion"/>
  </si>
  <si>
    <t>­ 사업비</t>
    <phoneticPr fontId="2" type="noConversion"/>
  </si>
  <si>
    <t>­ 홍보비</t>
    <phoneticPr fontId="2" type="noConversion"/>
  </si>
  <si>
    <t>­ 컨설팅비</t>
    <phoneticPr fontId="2" type="noConversion"/>
  </si>
  <si>
    <t>­ 자치기구</t>
    <phoneticPr fontId="2" type="noConversion"/>
  </si>
  <si>
    <t xml:space="preserve">  - 홍보비</t>
    <phoneticPr fontId="2" type="noConversion"/>
  </si>
  <si>
    <t xml:space="preserve">  - 운영비</t>
    <phoneticPr fontId="2" type="noConversion"/>
  </si>
  <si>
    <t xml:space="preserve">  - 재료비</t>
    <phoneticPr fontId="2" type="noConversion"/>
  </si>
  <si>
    <t xml:space="preserve">  - 예비비</t>
    <phoneticPr fontId="2" type="noConversion"/>
  </si>
  <si>
    <t xml:space="preserve">  - 숙박비(청소년)</t>
    <phoneticPr fontId="2" type="noConversion"/>
  </si>
  <si>
    <t xml:space="preserve">  - 숙박비(지도자)</t>
    <phoneticPr fontId="2" type="noConversion"/>
  </si>
  <si>
    <t xml:space="preserve">  - 식비</t>
    <phoneticPr fontId="2" type="noConversion"/>
  </si>
  <si>
    <t xml:space="preserve">  - 간식비</t>
    <phoneticPr fontId="2" type="noConversion"/>
  </si>
  <si>
    <t xml:space="preserve">  - 투어재료비</t>
    <phoneticPr fontId="2" type="noConversion"/>
  </si>
  <si>
    <t xml:space="preserve">  - 회의비</t>
    <phoneticPr fontId="2" type="noConversion"/>
  </si>
  <si>
    <t xml:space="preserve">  - 사전회의비</t>
    <phoneticPr fontId="2" type="noConversion"/>
  </si>
  <si>
    <t xml:space="preserve">  - 프로그램진행비</t>
    <phoneticPr fontId="2" type="noConversion"/>
  </si>
  <si>
    <t xml:space="preserve">  - 체험활동비</t>
    <phoneticPr fontId="2" type="noConversion"/>
  </si>
  <si>
    <t xml:space="preserve">  - 홍보비</t>
    <phoneticPr fontId="2" type="noConversion"/>
  </si>
  <si>
    <t xml:space="preserve">  - 보험료</t>
    <phoneticPr fontId="2" type="noConversion"/>
  </si>
  <si>
    <t xml:space="preserve">  - 버스임차료</t>
    <phoneticPr fontId="2" type="noConversion"/>
  </si>
  <si>
    <t xml:space="preserve">  - 간식비</t>
    <phoneticPr fontId="2" type="noConversion"/>
  </si>
  <si>
    <t xml:space="preserve">  - 기념품</t>
    <phoneticPr fontId="2" type="noConversion"/>
  </si>
  <si>
    <t xml:space="preserve">  - 진행비</t>
    <phoneticPr fontId="2" type="noConversion"/>
  </si>
  <si>
    <t xml:space="preserve">  - 운영비</t>
    <phoneticPr fontId="2" type="noConversion"/>
  </si>
  <si>
    <t xml:space="preserve">  - 행사진행비</t>
    <phoneticPr fontId="2" type="noConversion"/>
  </si>
  <si>
    <t xml:space="preserve">  - 식비</t>
    <phoneticPr fontId="2" type="noConversion"/>
  </si>
  <si>
    <t xml:space="preserve">  - 보험가입비</t>
    <phoneticPr fontId="2" type="noConversion"/>
  </si>
  <si>
    <t xml:space="preserve">  - 버스임차비</t>
    <phoneticPr fontId="2" type="noConversion"/>
  </si>
  <si>
    <t xml:space="preserve">  - 텐트사용료</t>
    <phoneticPr fontId="2" type="noConversion"/>
  </si>
  <si>
    <t xml:space="preserve">  - 기념뱃지비</t>
    <phoneticPr fontId="2" type="noConversion"/>
  </si>
  <si>
    <t xml:space="preserve">  - 체험활동카드</t>
    <phoneticPr fontId="2" type="noConversion"/>
  </si>
  <si>
    <t xml:space="preserve">  - 교보재박스</t>
    <phoneticPr fontId="2" type="noConversion"/>
  </si>
  <si>
    <t xml:space="preserve">  - 야영용품</t>
    <phoneticPr fontId="2" type="noConversion"/>
  </si>
  <si>
    <t xml:space="preserve">  - 안전용품</t>
    <phoneticPr fontId="2" type="noConversion"/>
  </si>
  <si>
    <t xml:space="preserve">  - 현수막제작</t>
    <phoneticPr fontId="2" type="noConversion"/>
  </si>
  <si>
    <t xml:space="preserve">  - 프로그램운영비</t>
    <phoneticPr fontId="2" type="noConversion"/>
  </si>
  <si>
    <t xml:space="preserve">  - 의약품비</t>
    <phoneticPr fontId="2" type="noConversion"/>
  </si>
  <si>
    <t xml:space="preserve">  - 행사진행비</t>
    <phoneticPr fontId="2" type="noConversion"/>
  </si>
  <si>
    <t xml:space="preserve">  - 기타재료비</t>
    <phoneticPr fontId="2" type="noConversion"/>
  </si>
  <si>
    <t xml:space="preserve">  - 회의비</t>
    <phoneticPr fontId="2" type="noConversion"/>
  </si>
  <si>
    <t xml:space="preserve">  - 강사비</t>
    <phoneticPr fontId="2" type="noConversion"/>
  </si>
  <si>
    <t xml:space="preserve">  - 직원출장비</t>
    <phoneticPr fontId="2" type="noConversion"/>
  </si>
  <si>
    <t>o 고3수능생프로그램</t>
    <phoneticPr fontId="2" type="noConversion"/>
  </si>
  <si>
    <t xml:space="preserve">  - 강사비</t>
    <phoneticPr fontId="2" type="noConversion"/>
  </si>
  <si>
    <t xml:space="preserve">  - 공연비</t>
    <phoneticPr fontId="2" type="noConversion"/>
  </si>
  <si>
    <t xml:space="preserve">  - 프로그램진행비</t>
    <phoneticPr fontId="2" type="noConversion"/>
  </si>
  <si>
    <t xml:space="preserve">  - 프로그램운영비</t>
    <phoneticPr fontId="2" type="noConversion"/>
  </si>
  <si>
    <t xml:space="preserve">  - 인건비</t>
    <phoneticPr fontId="2" type="noConversion"/>
  </si>
  <si>
    <t xml:space="preserve">  - 문화공연재료비</t>
    <phoneticPr fontId="2" type="noConversion"/>
  </si>
  <si>
    <t xml:space="preserve">  - 운영비</t>
    <phoneticPr fontId="2" type="noConversion"/>
  </si>
  <si>
    <t xml:space="preserve">  - 운영비</t>
    <phoneticPr fontId="2" type="noConversion"/>
  </si>
  <si>
    <t xml:space="preserve">  - 프로그램진행비</t>
    <phoneticPr fontId="2" type="noConversion"/>
  </si>
  <si>
    <t xml:space="preserve">  - 기획홍보비</t>
    <phoneticPr fontId="2" type="noConversion"/>
  </si>
  <si>
    <t xml:space="preserve">  - 인건비</t>
    <phoneticPr fontId="2" type="noConversion"/>
  </si>
  <si>
    <t xml:space="preserve">  - 사업진행비</t>
    <phoneticPr fontId="2" type="noConversion"/>
  </si>
  <si>
    <t xml:space="preserve">  - 활동비</t>
    <phoneticPr fontId="2" type="noConversion"/>
  </si>
  <si>
    <t xml:space="preserve">  - 프로그램운영비</t>
    <phoneticPr fontId="2" type="noConversion"/>
  </si>
  <si>
    <t xml:space="preserve">  - 운영비(평가및다과 외)</t>
    <phoneticPr fontId="2" type="noConversion"/>
  </si>
  <si>
    <t xml:space="preserve">  - 재료비</t>
    <phoneticPr fontId="2" type="noConversion"/>
  </si>
  <si>
    <t xml:space="preserve">  - 운영비</t>
    <phoneticPr fontId="2" type="noConversion"/>
  </si>
  <si>
    <t xml:space="preserve">  - 장학금</t>
    <phoneticPr fontId="2" type="noConversion"/>
  </si>
  <si>
    <t xml:space="preserve">  - 간식비</t>
    <phoneticPr fontId="2" type="noConversion"/>
  </si>
  <si>
    <t xml:space="preserve">  - 평가활동비</t>
    <phoneticPr fontId="2" type="noConversion"/>
  </si>
  <si>
    <t xml:space="preserve"> - 운영비(다과 구입 외)</t>
    <phoneticPr fontId="2" type="noConversion"/>
  </si>
  <si>
    <t xml:space="preserve">  - 운영비</t>
    <phoneticPr fontId="2" type="noConversion"/>
  </si>
  <si>
    <t xml:space="preserve">  - 간식비</t>
    <phoneticPr fontId="2" type="noConversion"/>
  </si>
  <si>
    <t xml:space="preserve">  - 인쇄비</t>
    <phoneticPr fontId="2" type="noConversion"/>
  </si>
  <si>
    <t xml:space="preserve">  - 운영비</t>
    <phoneticPr fontId="2" type="noConversion"/>
  </si>
  <si>
    <t xml:space="preserve">      · 다과비</t>
    <phoneticPr fontId="2" type="noConversion"/>
  </si>
  <si>
    <t xml:space="preserve">      · 수업재료비</t>
    <phoneticPr fontId="2" type="noConversion"/>
  </si>
  <si>
    <t xml:space="preserve">      · 다과비</t>
    <phoneticPr fontId="2" type="noConversion"/>
  </si>
  <si>
    <t xml:space="preserve">      · 멘토활동지도비</t>
    <phoneticPr fontId="2" type="noConversion"/>
  </si>
  <si>
    <t xml:space="preserve">      · 교재및문구구입비</t>
    <phoneticPr fontId="2" type="noConversion"/>
  </si>
  <si>
    <t xml:space="preserve">      · 멘토강사비</t>
    <phoneticPr fontId="2" type="noConversion"/>
  </si>
  <si>
    <t xml:space="preserve">      · 활동지도비</t>
    <phoneticPr fontId="2" type="noConversion"/>
  </si>
  <si>
    <t xml:space="preserve">      · 편집및신문바행비</t>
    <phoneticPr fontId="2" type="noConversion"/>
  </si>
  <si>
    <t>- 인턴인건비</t>
    <phoneticPr fontId="2" type="noConversion"/>
  </si>
  <si>
    <t>- 홍보물 디자인비</t>
    <phoneticPr fontId="2" type="noConversion"/>
  </si>
  <si>
    <t>- 홍보물 제작비</t>
    <phoneticPr fontId="2" type="noConversion"/>
  </si>
  <si>
    <t xml:space="preserve">      · 강사비</t>
    <phoneticPr fontId="2" type="noConversion"/>
  </si>
  <si>
    <t xml:space="preserve">      · 보조강사, 멘토</t>
    <phoneticPr fontId="2" type="noConversion"/>
  </si>
  <si>
    <t xml:space="preserve">      · 운영비</t>
    <phoneticPr fontId="2" type="noConversion"/>
  </si>
  <si>
    <t>ㅇ자산취득비</t>
    <phoneticPr fontId="2" type="noConversion"/>
  </si>
  <si>
    <t>한컴오피스</t>
    <phoneticPr fontId="2" type="noConversion"/>
  </si>
  <si>
    <t>마이크로소프트</t>
    <phoneticPr fontId="2" type="noConversion"/>
  </si>
  <si>
    <t>라이센스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</si>
</sst>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1">
    <numFmt numFmtId="41" formatCode="_-* #,##0_-;\-* #,##0_-;_-* &quot;-&quot;_-;_-@_-"/>
    <numFmt numFmtId="43" formatCode="_-* #,##0.00_-;\-* #,##0.00_-;_-* &quot;-&quot;??_-;_-@_-"/>
    <numFmt numFmtId="176" formatCode="0.0%"/>
    <numFmt numFmtId="177" formatCode="#,##0,"/>
    <numFmt numFmtId="178" formatCode="&quot;(&quot;###,###&quot;)&quot;"/>
    <numFmt numFmtId="179" formatCode="###&quot;회&quot;"/>
    <numFmt numFmtId="180" formatCode="###&quot;식&quot;"/>
    <numFmt numFmtId="181" formatCode="###&quot;명&quot;"/>
    <numFmt numFmtId="182" formatCode="###&quot;월&quot;"/>
    <numFmt numFmtId="183" formatCode="#,###\'"/>
    <numFmt numFmtId="184" formatCode="###&quot;시간&quot;"/>
    <numFmt numFmtId="185" formatCode="###&quot;일&quot;"/>
    <numFmt numFmtId="186" formatCode="\1&quot;/&quot;##&quot;월&quot;"/>
    <numFmt numFmtId="187" formatCode="0.000%"/>
    <numFmt numFmtId="188" formatCode="###&quot;팀&quot;"/>
    <numFmt numFmtId="189" formatCode="###&quot;kwh&quot;"/>
    <numFmt numFmtId="190" formatCode="###&quot;부&quot;"/>
    <numFmt numFmtId="191" formatCode="###&quot;년&quot;"/>
    <numFmt numFmtId="192" formatCode="###&quot;분기&quot;"/>
    <numFmt numFmtId="193" formatCode="###&quot;반&quot;"/>
    <numFmt numFmtId="194" formatCode="\(#,##0\)"/>
    <numFmt numFmtId="195" formatCode="#,##0&quot;명&quot;"/>
    <numFmt numFmtId="196" formatCode="###&quot;개&quot;"/>
    <numFmt numFmtId="197" formatCode="###&quot;대&quot;"/>
    <numFmt numFmtId="198" formatCode="#,##0&quot;회&quot;"/>
    <numFmt numFmtId="199" formatCode="#,##0_);\(#,##0\)"/>
    <numFmt numFmtId="200" formatCode="#,##0&quot;개&quot;"/>
    <numFmt numFmtId="201" formatCode="#,##0&quot;식&quot;"/>
    <numFmt numFmtId="202" formatCode="#,##0&quot;대&quot;"/>
    <numFmt numFmtId="203" formatCode="#,##0&quot;월&quot;"/>
    <numFmt numFmtId="204" formatCode="###&quot;주&quot;"/>
    <numFmt numFmtId="205" formatCode="###&quot;개월&quot;"/>
    <numFmt numFmtId="206" formatCode="###.#&quot;일&quot;"/>
    <numFmt numFmtId="207" formatCode="0.0000_);[Red]\(0.0000\)"/>
    <numFmt numFmtId="208" formatCode="0.0_ "/>
    <numFmt numFmtId="209" formatCode="#,##0_ "/>
    <numFmt numFmtId="210" formatCode="#,##0_);[Red]\(#,##0\)"/>
    <numFmt numFmtId="211" formatCode="###&quot;잔&quot;"/>
    <numFmt numFmtId="212" formatCode="0_);[Red]\(0\)"/>
    <numFmt numFmtId="213" formatCode="#,##0.0000_);[Red]\(#,##0.0000\)"/>
    <numFmt numFmtId="214" formatCode="_-* #,##0_-;\-* #,##0_-;_-* &quot;-&quot;??_-;_-@_-"/>
    <numFmt numFmtId="215" formatCode="#,##0&quot;회기&quot;"/>
    <numFmt numFmtId="216" formatCode="##&quot;.&quot;"/>
    <numFmt numFmtId="217" formatCode="#,##0&quot;부&quot;"/>
    <numFmt numFmtId="218" formatCode="#,##0&quot;개분과&quot;"/>
    <numFmt numFmtId="219" formatCode="#,##0&quot;팀&quot;"/>
    <numFmt numFmtId="220" formatCode="###&quot;개국&quot;"/>
    <numFmt numFmtId="221" formatCode="###&quot;학기&quot;"/>
    <numFmt numFmtId="222" formatCode="###&quot;동&quot;"/>
    <numFmt numFmtId="223" formatCode="###&quot;장&quot;"/>
    <numFmt numFmtId="224" formatCode="###&quot;회기&quot;"/>
  </numFmts>
  <fonts count="7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b/>
      <sz val="22"/>
      <color indexed="8"/>
      <name val="HY견고딕"/>
      <family val="1"/>
      <charset val="129"/>
    </font>
    <font>
      <sz val="8"/>
      <name val="돋움"/>
      <family val="3"/>
      <charset val="129"/>
    </font>
    <font>
      <b/>
      <sz val="16"/>
      <color indexed="8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theme="0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1"/>
      <name val="함초롬돋움"/>
      <family val="1"/>
      <charset val="129"/>
    </font>
    <font>
      <u/>
      <sz val="10.25"/>
      <color theme="10"/>
      <name val="맑은 고딕"/>
      <family val="3"/>
      <charset val="129"/>
    </font>
    <font>
      <b/>
      <sz val="11"/>
      <color indexed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hadow/>
      <sz val="42"/>
      <color rgb="FF000000"/>
      <name val="HY헤드라인M"/>
      <family val="1"/>
      <charset val="129"/>
    </font>
    <font>
      <sz val="48"/>
      <color theme="1"/>
      <name val="맑은 고딕"/>
      <family val="2"/>
      <charset val="129"/>
      <scheme val="minor"/>
    </font>
    <font>
      <sz val="26"/>
      <color theme="1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12"/>
      <color theme="1"/>
      <name val="맑은 고딕"/>
      <family val="2"/>
      <charset val="129"/>
      <scheme val="minor"/>
    </font>
    <font>
      <sz val="13"/>
      <color theme="1"/>
      <name val="HY헤드라인M"/>
      <family val="1"/>
      <charset val="129"/>
    </font>
    <font>
      <b/>
      <sz val="10"/>
      <color rgb="FF000000"/>
      <name val="맑은 고딕"/>
      <family val="3"/>
      <charset val="129"/>
      <scheme val="major"/>
    </font>
    <font>
      <b/>
      <sz val="22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u/>
      <sz val="10.25"/>
      <color theme="10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20"/>
      <color rgb="FF000000"/>
      <name val="맑은 고딕"/>
      <family val="3"/>
      <charset val="129"/>
      <scheme val="major"/>
    </font>
    <font>
      <b/>
      <sz val="10"/>
      <color rgb="FFFFFFFF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color theme="5"/>
      <name val="맑은 고딕"/>
      <family val="3"/>
      <charset val="129"/>
      <scheme val="major"/>
    </font>
    <font>
      <b/>
      <sz val="10"/>
      <color theme="5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ajor"/>
    </font>
    <font>
      <sz val="7.5"/>
      <color theme="1"/>
      <name val="맑은 고딕"/>
      <family val="3"/>
      <charset val="129"/>
      <scheme val="major"/>
    </font>
    <font>
      <u/>
      <sz val="10"/>
      <color theme="1"/>
      <name val="맑은 고딕"/>
      <family val="3"/>
      <charset val="129"/>
      <scheme val="major"/>
    </font>
    <font>
      <shadow/>
      <sz val="36"/>
      <color rgb="FF000000"/>
      <name val="HY헤드라인M"/>
      <family val="1"/>
      <charset val="129"/>
    </font>
    <font>
      <b/>
      <sz val="12"/>
      <color theme="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신명 태고딕"/>
      <family val="3"/>
      <charset val="129"/>
    </font>
  </fonts>
  <fills count="2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E7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BCB"/>
        <bgColor indexed="64"/>
      </patternFill>
    </fill>
  </fills>
  <borders count="13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FF"/>
      </right>
      <top style="double">
        <color rgb="FF000000"/>
      </top>
      <bottom style="dotted">
        <color rgb="FF000000"/>
      </bottom>
      <diagonal/>
    </border>
    <border>
      <left style="thin">
        <color rgb="FF000000"/>
      </left>
      <right style="thick">
        <color rgb="FF0000FF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ck">
        <color rgb="FF0000FF"/>
      </right>
      <top style="dotted">
        <color rgb="FF000000"/>
      </top>
      <bottom style="double">
        <color rgb="FF000000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0" fontId="5" fillId="0" borderId="0"/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0" fontId="3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18" fillId="0" borderId="0">
      <alignment vertical="center"/>
    </xf>
    <xf numFmtId="41" fontId="18" fillId="0" borderId="0">
      <alignment vertical="center"/>
    </xf>
    <xf numFmtId="9" fontId="18" fillId="0" borderId="0">
      <alignment vertical="center"/>
    </xf>
    <xf numFmtId="41" fontId="22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8" fillId="0" borderId="0">
      <alignment vertical="center"/>
    </xf>
  </cellStyleXfs>
  <cellXfs count="2012">
    <xf numFmtId="0" fontId="0" fillId="0" borderId="0" xfId="0">
      <alignment vertical="center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horizontal="center" vertical="center"/>
    </xf>
    <xf numFmtId="41" fontId="5" fillId="0" borderId="0" xfId="7" applyFont="1" applyAlignment="1">
      <alignment horizontal="center" vertical="center"/>
    </xf>
    <xf numFmtId="0" fontId="11" fillId="0" borderId="0" xfId="5" applyFont="1" applyBorder="1" applyAlignment="1">
      <alignment horizontal="center" vertical="center"/>
    </xf>
    <xf numFmtId="0" fontId="11" fillId="0" borderId="0" xfId="5" applyFont="1" applyAlignment="1">
      <alignment horizontal="center" vertical="center"/>
    </xf>
    <xf numFmtId="41" fontId="9" fillId="3" borderId="5" xfId="6" applyFont="1" applyFill="1" applyBorder="1" applyAlignment="1" applyProtection="1">
      <alignment horizontal="left" vertical="center" wrapText="1"/>
      <protection locked="0"/>
    </xf>
    <xf numFmtId="176" fontId="9" fillId="3" borderId="7" xfId="3" applyNumberFormat="1" applyFont="1" applyFill="1" applyBorder="1" applyAlignment="1">
      <alignment horizontal="center" vertical="center"/>
    </xf>
    <xf numFmtId="41" fontId="9" fillId="0" borderId="5" xfId="6" applyFont="1" applyBorder="1" applyAlignment="1">
      <alignment vertical="center"/>
    </xf>
    <xf numFmtId="176" fontId="9" fillId="0" borderId="6" xfId="4" applyNumberFormat="1" applyFont="1" applyBorder="1" applyAlignment="1">
      <alignment horizontal="center" vertical="center"/>
    </xf>
    <xf numFmtId="176" fontId="9" fillId="0" borderId="7" xfId="4" applyNumberFormat="1" applyFont="1" applyBorder="1" applyAlignment="1">
      <alignment horizontal="center" vertical="center"/>
    </xf>
    <xf numFmtId="0" fontId="9" fillId="0" borderId="0" xfId="5" applyFont="1" applyBorder="1" applyAlignment="1">
      <alignment horizontal="center" vertical="center"/>
    </xf>
    <xf numFmtId="0" fontId="9" fillId="0" borderId="0" xfId="5" applyFont="1" applyAlignment="1">
      <alignment horizontal="center" vertical="center"/>
    </xf>
    <xf numFmtId="41" fontId="13" fillId="0" borderId="8" xfId="6" applyFont="1" applyFill="1" applyBorder="1" applyAlignment="1">
      <alignment horizontal="left" vertical="center" indent="1"/>
    </xf>
    <xf numFmtId="176" fontId="13" fillId="0" borderId="9" xfId="4" applyNumberFormat="1" applyFont="1" applyFill="1" applyBorder="1" applyAlignment="1">
      <alignment horizontal="center" vertical="center"/>
    </xf>
    <xf numFmtId="176" fontId="13" fillId="0" borderId="10" xfId="4" applyNumberFormat="1" applyFont="1" applyFill="1" applyBorder="1" applyAlignment="1">
      <alignment horizontal="center" vertical="center"/>
    </xf>
    <xf numFmtId="41" fontId="13" fillId="0" borderId="11" xfId="6" applyFont="1" applyFill="1" applyBorder="1" applyAlignment="1">
      <alignment horizontal="left" vertical="center" indent="1"/>
    </xf>
    <xf numFmtId="176" fontId="13" fillId="0" borderId="12" xfId="4" applyNumberFormat="1" applyFont="1" applyFill="1" applyBorder="1" applyAlignment="1">
      <alignment horizontal="center" vertical="center"/>
    </xf>
    <xf numFmtId="176" fontId="13" fillId="0" borderId="13" xfId="4" applyNumberFormat="1" applyFont="1" applyFill="1" applyBorder="1" applyAlignment="1">
      <alignment horizontal="center" vertical="center"/>
    </xf>
    <xf numFmtId="41" fontId="14" fillId="0" borderId="5" xfId="6" applyFont="1" applyFill="1" applyBorder="1" applyAlignment="1">
      <alignment vertical="center"/>
    </xf>
    <xf numFmtId="176" fontId="14" fillId="0" borderId="6" xfId="4" applyNumberFormat="1" applyFont="1" applyFill="1" applyBorder="1" applyAlignment="1">
      <alignment horizontal="center" vertical="center"/>
    </xf>
    <xf numFmtId="176" fontId="14" fillId="0" borderId="6" xfId="3" applyNumberFormat="1" applyFont="1" applyFill="1" applyBorder="1" applyAlignment="1">
      <alignment horizontal="center" vertical="center"/>
    </xf>
    <xf numFmtId="176" fontId="14" fillId="0" borderId="7" xfId="4" applyNumberFormat="1" applyFont="1" applyFill="1" applyBorder="1" applyAlignment="1">
      <alignment horizontal="center" vertical="center"/>
    </xf>
    <xf numFmtId="41" fontId="13" fillId="0" borderId="14" xfId="6" applyFont="1" applyFill="1" applyBorder="1" applyAlignment="1">
      <alignment horizontal="left" vertical="center" indent="1"/>
    </xf>
    <xf numFmtId="176" fontId="13" fillId="0" borderId="15" xfId="4" applyNumberFormat="1" applyFont="1" applyFill="1" applyBorder="1" applyAlignment="1">
      <alignment horizontal="center" vertical="center"/>
    </xf>
    <xf numFmtId="176" fontId="14" fillId="0" borderId="17" xfId="4" applyNumberFormat="1" applyFont="1" applyFill="1" applyBorder="1" applyAlignment="1">
      <alignment horizontal="center" vertical="center"/>
    </xf>
    <xf numFmtId="176" fontId="14" fillId="0" borderId="17" xfId="3" applyNumberFormat="1" applyFont="1" applyFill="1" applyBorder="1" applyAlignment="1">
      <alignment horizontal="center" vertical="center"/>
    </xf>
    <xf numFmtId="176" fontId="9" fillId="0" borderId="6" xfId="3" applyNumberFormat="1" applyFont="1" applyFill="1" applyBorder="1" applyAlignment="1">
      <alignment horizontal="center" vertical="center"/>
    </xf>
    <xf numFmtId="176" fontId="9" fillId="0" borderId="7" xfId="3" applyNumberFormat="1" applyFont="1" applyFill="1" applyBorder="1" applyAlignment="1">
      <alignment horizontal="center" vertical="center"/>
    </xf>
    <xf numFmtId="41" fontId="11" fillId="0" borderId="11" xfId="6" applyFont="1" applyFill="1" applyBorder="1" applyAlignment="1">
      <alignment horizontal="left" vertical="center" indent="1"/>
    </xf>
    <xf numFmtId="176" fontId="11" fillId="0" borderId="12" xfId="4" applyNumberFormat="1" applyFont="1" applyFill="1" applyBorder="1" applyAlignment="1">
      <alignment horizontal="center" vertical="center"/>
    </xf>
    <xf numFmtId="176" fontId="11" fillId="0" borderId="13" xfId="4" applyNumberFormat="1" applyFont="1" applyFill="1" applyBorder="1" applyAlignment="1">
      <alignment horizontal="center" vertical="center"/>
    </xf>
    <xf numFmtId="176" fontId="11" fillId="0" borderId="9" xfId="4" applyNumberFormat="1" applyFont="1" applyFill="1" applyBorder="1" applyAlignment="1">
      <alignment horizontal="center" vertical="center"/>
    </xf>
    <xf numFmtId="41" fontId="9" fillId="0" borderId="5" xfId="6" applyFont="1" applyFill="1" applyBorder="1" applyAlignment="1">
      <alignment vertical="center"/>
    </xf>
    <xf numFmtId="176" fontId="9" fillId="0" borderId="6" xfId="4" applyNumberFormat="1" applyFont="1" applyFill="1" applyBorder="1" applyAlignment="1">
      <alignment horizontal="center" vertical="center"/>
    </xf>
    <xf numFmtId="176" fontId="9" fillId="0" borderId="7" xfId="4" applyNumberFormat="1" applyFont="1" applyFill="1" applyBorder="1" applyAlignment="1">
      <alignment horizontal="center" vertical="center"/>
    </xf>
    <xf numFmtId="41" fontId="11" fillId="0" borderId="1" xfId="6" applyFont="1" applyFill="1" applyBorder="1" applyAlignment="1">
      <alignment horizontal="left" vertical="center" indent="1"/>
    </xf>
    <xf numFmtId="176" fontId="11" fillId="0" borderId="2" xfId="4" applyNumberFormat="1" applyFont="1" applyFill="1" applyBorder="1" applyAlignment="1">
      <alignment horizontal="center" vertical="center"/>
    </xf>
    <xf numFmtId="41" fontId="11" fillId="0" borderId="8" xfId="6" applyFont="1" applyFill="1" applyBorder="1" applyAlignment="1">
      <alignment horizontal="left" vertical="center" indent="1"/>
    </xf>
    <xf numFmtId="176" fontId="11" fillId="0" borderId="10" xfId="4" applyNumberFormat="1" applyFont="1" applyFill="1" applyBorder="1" applyAlignment="1">
      <alignment horizontal="center" vertical="center"/>
    </xf>
    <xf numFmtId="0" fontId="15" fillId="0" borderId="0" xfId="8" applyFont="1" applyFill="1"/>
    <xf numFmtId="176" fontId="11" fillId="0" borderId="6" xfId="4" applyNumberFormat="1" applyFont="1" applyFill="1" applyBorder="1" applyAlignment="1">
      <alignment horizontal="center" vertical="center"/>
    </xf>
    <xf numFmtId="176" fontId="11" fillId="0" borderId="7" xfId="4" applyNumberFormat="1" applyFont="1" applyFill="1" applyBorder="1" applyAlignment="1">
      <alignment horizontal="center" vertical="center"/>
    </xf>
    <xf numFmtId="41" fontId="15" fillId="0" borderId="0" xfId="6" applyFont="1" applyFill="1" applyAlignment="1"/>
    <xf numFmtId="0" fontId="15" fillId="0" borderId="0" xfId="8" applyFont="1" applyFill="1" applyAlignment="1"/>
    <xf numFmtId="41" fontId="15" fillId="0" borderId="0" xfId="6" applyFont="1" applyAlignment="1"/>
    <xf numFmtId="0" fontId="15" fillId="0" borderId="0" xfId="8" applyFont="1" applyAlignment="1"/>
    <xf numFmtId="0" fontId="15" fillId="0" borderId="0" xfId="8" applyFont="1"/>
    <xf numFmtId="0" fontId="15" fillId="0" borderId="0" xfId="8" applyFont="1" applyFill="1" applyAlignment="1">
      <alignment horizontal="right"/>
    </xf>
    <xf numFmtId="176" fontId="15" fillId="0" borderId="0" xfId="8" applyNumberFormat="1" applyFont="1" applyFill="1" applyAlignment="1">
      <alignment horizontal="right"/>
    </xf>
    <xf numFmtId="0" fontId="16" fillId="0" borderId="0" xfId="9" applyFill="1" applyAlignment="1" applyProtection="1">
      <alignment horizontal="right"/>
    </xf>
    <xf numFmtId="0" fontId="15" fillId="0" borderId="0" xfId="8" applyFont="1" applyAlignment="1">
      <alignment horizontal="right"/>
    </xf>
    <xf numFmtId="176" fontId="15" fillId="0" borderId="0" xfId="8" applyNumberFormat="1" applyFont="1" applyAlignment="1">
      <alignment horizontal="right"/>
    </xf>
    <xf numFmtId="176" fontId="9" fillId="3" borderId="6" xfId="3" applyNumberFormat="1" applyFont="1" applyFill="1" applyBorder="1" applyAlignment="1">
      <alignment horizontal="center" vertical="center"/>
    </xf>
    <xf numFmtId="41" fontId="13" fillId="0" borderId="3" xfId="6" applyFont="1" applyFill="1" applyBorder="1" applyAlignment="1">
      <alignment horizontal="left" vertical="center" indent="1"/>
    </xf>
    <xf numFmtId="176" fontId="13" fillId="0" borderId="4" xfId="4" applyNumberFormat="1" applyFont="1" applyFill="1" applyBorder="1" applyAlignment="1">
      <alignment horizontal="center" vertical="center"/>
    </xf>
    <xf numFmtId="41" fontId="13" fillId="0" borderId="21" xfId="6" applyFont="1" applyFill="1" applyBorder="1" applyAlignment="1">
      <alignment horizontal="left" vertical="center" indent="1"/>
    </xf>
    <xf numFmtId="176" fontId="13" fillId="0" borderId="22" xfId="4" applyNumberFormat="1" applyFont="1" applyFill="1" applyBorder="1" applyAlignment="1">
      <alignment horizontal="center" vertical="center"/>
    </xf>
    <xf numFmtId="176" fontId="13" fillId="0" borderId="23" xfId="4" applyNumberFormat="1" applyFont="1" applyFill="1" applyBorder="1" applyAlignment="1">
      <alignment horizontal="center" vertical="center"/>
    </xf>
    <xf numFmtId="41" fontId="5" fillId="0" borderId="0" xfId="6" applyFont="1" applyBorder="1" applyAlignment="1">
      <alignment horizontal="center" vertical="center"/>
    </xf>
    <xf numFmtId="41" fontId="17" fillId="0" borderId="0" xfId="6" applyFont="1" applyBorder="1" applyAlignment="1">
      <alignment vertical="center"/>
    </xf>
    <xf numFmtId="41" fontId="11" fillId="0" borderId="0" xfId="6" applyFont="1" applyBorder="1" applyAlignment="1">
      <alignment horizontal="center" vertical="center"/>
    </xf>
    <xf numFmtId="41" fontId="9" fillId="0" borderId="0" xfId="6" applyFont="1" applyBorder="1" applyAlignment="1">
      <alignment horizontal="center" vertical="center"/>
    </xf>
    <xf numFmtId="176" fontId="13" fillId="0" borderId="22" xfId="3" applyNumberFormat="1" applyFont="1" applyFill="1" applyBorder="1" applyAlignment="1">
      <alignment horizontal="center" vertical="center"/>
    </xf>
    <xf numFmtId="176" fontId="11" fillId="0" borderId="4" xfId="4" applyNumberFormat="1" applyFont="1" applyFill="1" applyBorder="1" applyAlignment="1">
      <alignment horizontal="center" vertical="center"/>
    </xf>
    <xf numFmtId="176" fontId="13" fillId="0" borderId="12" xfId="3" applyNumberFormat="1" applyFont="1" applyFill="1" applyBorder="1" applyAlignment="1">
      <alignment horizontal="center" vertical="center"/>
    </xf>
    <xf numFmtId="0" fontId="27" fillId="9" borderId="50" xfId="0" applyFont="1" applyFill="1" applyBorder="1">
      <alignment vertical="center"/>
    </xf>
    <xf numFmtId="0" fontId="28" fillId="0" borderId="50" xfId="0" applyFont="1" applyFill="1" applyBorder="1" applyAlignment="1">
      <alignment horizontal="center" vertical="center"/>
    </xf>
    <xf numFmtId="0" fontId="29" fillId="2" borderId="56" xfId="0" applyFont="1" applyFill="1" applyBorder="1" applyAlignment="1">
      <alignment vertical="center"/>
    </xf>
    <xf numFmtId="0" fontId="29" fillId="2" borderId="28" xfId="0" applyFont="1" applyFill="1" applyBorder="1" applyAlignment="1">
      <alignment vertical="center"/>
    </xf>
    <xf numFmtId="49" fontId="29" fillId="2" borderId="28" xfId="0" applyNumberFormat="1" applyFont="1" applyFill="1" applyBorder="1" applyAlignment="1">
      <alignment vertical="center"/>
    </xf>
    <xf numFmtId="41" fontId="29" fillId="2" borderId="43" xfId="1" applyFont="1" applyFill="1" applyBorder="1">
      <alignment vertical="center"/>
    </xf>
    <xf numFmtId="0" fontId="29" fillId="2" borderId="43" xfId="0" applyFont="1" applyFill="1" applyBorder="1">
      <alignment vertical="center"/>
    </xf>
    <xf numFmtId="0" fontId="29" fillId="2" borderId="43" xfId="0" applyFont="1" applyFill="1" applyBorder="1" applyAlignment="1">
      <alignment vertical="center"/>
    </xf>
    <xf numFmtId="0" fontId="29" fillId="2" borderId="43" xfId="0" applyFont="1" applyFill="1" applyBorder="1" applyAlignment="1">
      <alignment horizontal="center" vertical="center"/>
    </xf>
    <xf numFmtId="177" fontId="29" fillId="2" borderId="44" xfId="1" applyNumberFormat="1" applyFont="1" applyFill="1" applyBorder="1" applyAlignment="1">
      <alignment horizontal="right" vertical="center"/>
    </xf>
    <xf numFmtId="177" fontId="29" fillId="2" borderId="52" xfId="1" applyNumberFormat="1" applyFont="1" applyFill="1" applyBorder="1" applyAlignment="1">
      <alignment horizontal="right" vertical="center"/>
    </xf>
    <xf numFmtId="176" fontId="29" fillId="2" borderId="59" xfId="0" applyNumberFormat="1" applyFont="1" applyFill="1" applyBorder="1" applyAlignment="1">
      <alignment horizontal="right" vertical="center"/>
    </xf>
    <xf numFmtId="0" fontId="28" fillId="0" borderId="57" xfId="0" applyFont="1" applyBorder="1">
      <alignment vertical="center"/>
    </xf>
    <xf numFmtId="0" fontId="28" fillId="0" borderId="53" xfId="0" applyFont="1" applyFill="1" applyBorder="1">
      <alignment vertical="center"/>
    </xf>
    <xf numFmtId="0" fontId="28" fillId="0" borderId="57" xfId="0" applyFont="1" applyFill="1" applyBorder="1">
      <alignment vertical="center"/>
    </xf>
    <xf numFmtId="0" fontId="28" fillId="0" borderId="49" xfId="0" applyFont="1" applyFill="1" applyBorder="1">
      <alignment vertical="center"/>
    </xf>
    <xf numFmtId="0" fontId="28" fillId="0" borderId="0" xfId="0" applyFont="1" applyFill="1" applyBorder="1">
      <alignment vertical="center"/>
    </xf>
    <xf numFmtId="0" fontId="29" fillId="2" borderId="50" xfId="0" applyFont="1" applyFill="1" applyBorder="1" applyAlignment="1">
      <alignment vertical="center"/>
    </xf>
    <xf numFmtId="0" fontId="29" fillId="2" borderId="50" xfId="0" applyFont="1" applyFill="1" applyBorder="1">
      <alignment vertical="center"/>
    </xf>
    <xf numFmtId="49" fontId="29" fillId="2" borderId="50" xfId="0" applyNumberFormat="1" applyFont="1" applyFill="1" applyBorder="1">
      <alignment vertical="center"/>
    </xf>
    <xf numFmtId="41" fontId="29" fillId="2" borderId="50" xfId="1" applyFont="1" applyFill="1" applyBorder="1">
      <alignment vertical="center"/>
    </xf>
    <xf numFmtId="0" fontId="29" fillId="2" borderId="50" xfId="0" applyFont="1" applyFill="1" applyBorder="1" applyAlignment="1">
      <alignment horizontal="center" vertical="center"/>
    </xf>
    <xf numFmtId="0" fontId="31" fillId="0" borderId="57" xfId="0" applyFont="1" applyBorder="1">
      <alignment vertical="center"/>
    </xf>
    <xf numFmtId="0" fontId="31" fillId="0" borderId="49" xfId="0" applyFont="1" applyFill="1" applyBorder="1">
      <alignment vertical="center"/>
    </xf>
    <xf numFmtId="0" fontId="31" fillId="0" borderId="0" xfId="0" applyFont="1" applyFill="1" applyBorder="1">
      <alignment vertical="center"/>
    </xf>
    <xf numFmtId="0" fontId="28" fillId="9" borderId="50" xfId="0" applyFont="1" applyFill="1" applyBorder="1">
      <alignment vertical="center"/>
    </xf>
    <xf numFmtId="49" fontId="28" fillId="9" borderId="50" xfId="0" applyNumberFormat="1" applyFont="1" applyFill="1" applyBorder="1">
      <alignment vertical="center"/>
    </xf>
    <xf numFmtId="41" fontId="28" fillId="9" borderId="50" xfId="1" applyFont="1" applyFill="1" applyBorder="1">
      <alignment vertical="center"/>
    </xf>
    <xf numFmtId="0" fontId="28" fillId="9" borderId="50" xfId="0" applyFont="1" applyFill="1" applyBorder="1" applyAlignment="1">
      <alignment vertical="center"/>
    </xf>
    <xf numFmtId="0" fontId="28" fillId="9" borderId="50" xfId="0" applyFont="1" applyFill="1" applyBorder="1" applyAlignment="1">
      <alignment horizontal="center" vertical="center"/>
    </xf>
    <xf numFmtId="49" fontId="31" fillId="0" borderId="0" xfId="0" applyNumberFormat="1" applyFont="1" applyFill="1" applyBorder="1">
      <alignment vertical="center"/>
    </xf>
    <xf numFmtId="41" fontId="31" fillId="0" borderId="0" xfId="1" applyFont="1" applyFill="1" applyBorder="1">
      <alignment vertical="center"/>
    </xf>
    <xf numFmtId="0" fontId="31" fillId="0" borderId="0" xfId="0" applyFont="1" applyFill="1" applyBorder="1" applyAlignment="1">
      <alignment vertical="center"/>
    </xf>
    <xf numFmtId="0" fontId="31" fillId="0" borderId="0" xfId="0" applyFont="1" applyFill="1" applyBorder="1" applyAlignment="1">
      <alignment horizontal="center" vertical="center"/>
    </xf>
    <xf numFmtId="178" fontId="31" fillId="0" borderId="0" xfId="0" applyNumberFormat="1" applyFont="1" applyFill="1" applyBorder="1">
      <alignment vertical="center"/>
    </xf>
    <xf numFmtId="177" fontId="31" fillId="0" borderId="49" xfId="1" applyNumberFormat="1" applyFont="1" applyFill="1" applyBorder="1" applyAlignment="1">
      <alignment horizontal="right" vertical="center"/>
    </xf>
    <xf numFmtId="176" fontId="31" fillId="0" borderId="60" xfId="2" applyNumberFormat="1" applyFont="1" applyFill="1" applyBorder="1" applyAlignment="1">
      <alignment horizontal="right" vertical="center"/>
    </xf>
    <xf numFmtId="0" fontId="31" fillId="0" borderId="0" xfId="0" applyFont="1" applyFill="1" applyBorder="1" applyAlignment="1">
      <alignment horizontal="left" vertical="center" indent="1"/>
    </xf>
    <xf numFmtId="49" fontId="31" fillId="0" borderId="0" xfId="0" applyNumberFormat="1" applyFont="1" applyFill="1" applyBorder="1" applyAlignment="1">
      <alignment horizontal="left" vertical="center" indent="1"/>
    </xf>
    <xf numFmtId="41" fontId="31" fillId="0" borderId="0" xfId="6" applyFont="1" applyFill="1" applyBorder="1" applyAlignment="1">
      <alignment vertical="center" shrinkToFit="1"/>
    </xf>
    <xf numFmtId="0" fontId="31" fillId="0" borderId="0" xfId="0" applyFont="1" applyBorder="1">
      <alignment vertical="center"/>
    </xf>
    <xf numFmtId="181" fontId="31" fillId="0" borderId="0" xfId="0" applyNumberFormat="1" applyFont="1" applyBorder="1">
      <alignment vertical="center"/>
    </xf>
    <xf numFmtId="182" fontId="31" fillId="0" borderId="0" xfId="0" applyNumberFormat="1" applyFont="1" applyBorder="1">
      <alignment vertical="center"/>
    </xf>
    <xf numFmtId="182" fontId="31" fillId="0" borderId="0" xfId="0" applyNumberFormat="1" applyFont="1" applyBorder="1" applyAlignment="1">
      <alignment vertical="center"/>
    </xf>
    <xf numFmtId="0" fontId="31" fillId="0" borderId="0" xfId="0" applyFont="1" applyBorder="1" applyAlignment="1">
      <alignment horizontal="center" vertical="center"/>
    </xf>
    <xf numFmtId="41" fontId="31" fillId="0" borderId="0" xfId="0" applyNumberFormat="1" applyFont="1" applyBorder="1">
      <alignment vertical="center"/>
    </xf>
    <xf numFmtId="177" fontId="31" fillId="0" borderId="49" xfId="1" applyNumberFormat="1" applyFont="1" applyBorder="1" applyAlignment="1">
      <alignment horizontal="right" vertical="center"/>
    </xf>
    <xf numFmtId="0" fontId="31" fillId="0" borderId="60" xfId="0" applyFont="1" applyBorder="1" applyAlignment="1">
      <alignment horizontal="right" vertical="center"/>
    </xf>
    <xf numFmtId="41" fontId="31" fillId="10" borderId="0" xfId="1" applyFont="1" applyFill="1" applyBorder="1">
      <alignment vertical="center"/>
    </xf>
    <xf numFmtId="0" fontId="31" fillId="10" borderId="0" xfId="0" applyFont="1" applyFill="1" applyBorder="1">
      <alignment vertical="center"/>
    </xf>
    <xf numFmtId="0" fontId="31" fillId="10" borderId="0" xfId="0" applyFont="1" applyFill="1" applyBorder="1" applyAlignment="1">
      <alignment vertical="center"/>
    </xf>
    <xf numFmtId="0" fontId="31" fillId="10" borderId="0" xfId="0" applyFont="1" applyFill="1" applyBorder="1" applyAlignment="1">
      <alignment horizontal="center" vertical="center"/>
    </xf>
    <xf numFmtId="178" fontId="31" fillId="10" borderId="0" xfId="0" applyNumberFormat="1" applyFont="1" applyFill="1" applyBorder="1">
      <alignment vertical="center"/>
    </xf>
    <xf numFmtId="177" fontId="31" fillId="10" borderId="49" xfId="1" applyNumberFormat="1" applyFont="1" applyFill="1" applyBorder="1" applyAlignment="1">
      <alignment horizontal="right" vertical="center"/>
    </xf>
    <xf numFmtId="176" fontId="31" fillId="10" borderId="60" xfId="2" applyNumberFormat="1" applyFont="1" applyFill="1" applyBorder="1" applyAlignment="1">
      <alignment horizontal="right" vertical="center"/>
    </xf>
    <xf numFmtId="41" fontId="31" fillId="0" borderId="0" xfId="1" applyFont="1" applyBorder="1" applyAlignment="1">
      <alignment vertical="center" wrapText="1"/>
    </xf>
    <xf numFmtId="0" fontId="31" fillId="0" borderId="0" xfId="0" applyFont="1" applyFill="1" applyBorder="1" applyAlignment="1">
      <alignment horizontal="left" vertical="center" wrapText="1" indent="1"/>
    </xf>
    <xf numFmtId="41" fontId="31" fillId="0" borderId="0" xfId="1" applyFont="1" applyBorder="1">
      <alignment vertical="center"/>
    </xf>
    <xf numFmtId="0" fontId="31" fillId="0" borderId="0" xfId="0" applyFont="1" applyBorder="1" applyAlignment="1">
      <alignment vertical="center"/>
    </xf>
    <xf numFmtId="178" fontId="31" fillId="0" borderId="0" xfId="0" applyNumberFormat="1" applyFont="1" applyBorder="1">
      <alignment vertical="center"/>
    </xf>
    <xf numFmtId="49" fontId="31" fillId="0" borderId="0" xfId="0" applyNumberFormat="1" applyFont="1" applyFill="1" applyBorder="1" applyAlignment="1">
      <alignment horizontal="left" vertical="center" wrapText="1" indent="1"/>
    </xf>
    <xf numFmtId="184" fontId="31" fillId="0" borderId="0" xfId="0" applyNumberFormat="1" applyFont="1" applyBorder="1">
      <alignment vertical="center"/>
    </xf>
    <xf numFmtId="41" fontId="31" fillId="0" borderId="0" xfId="1" quotePrefix="1" applyFont="1" applyBorder="1">
      <alignment vertical="center"/>
    </xf>
    <xf numFmtId="185" fontId="31" fillId="0" borderId="0" xfId="0" applyNumberFormat="1" applyFont="1" applyBorder="1">
      <alignment vertical="center"/>
    </xf>
    <xf numFmtId="178" fontId="31" fillId="0" borderId="67" xfId="0" applyNumberFormat="1" applyFont="1" applyBorder="1">
      <alignment vertical="center"/>
    </xf>
    <xf numFmtId="41" fontId="31" fillId="0" borderId="49" xfId="1" applyFont="1" applyBorder="1" applyAlignment="1">
      <alignment horizontal="right" vertical="center"/>
    </xf>
    <xf numFmtId="0" fontId="31" fillId="0" borderId="0" xfId="0" applyFont="1" applyBorder="1" applyAlignment="1">
      <alignment horizontal="left" vertical="center" wrapText="1" indent="1"/>
    </xf>
    <xf numFmtId="41" fontId="31" fillId="0" borderId="48" xfId="0" applyNumberFormat="1" applyFont="1" applyBorder="1">
      <alignment vertical="center"/>
    </xf>
    <xf numFmtId="0" fontId="31" fillId="0" borderId="57" xfId="0" applyFont="1" applyFill="1" applyBorder="1">
      <alignment vertical="center"/>
    </xf>
    <xf numFmtId="176" fontId="29" fillId="2" borderId="59" xfId="2" applyNumberFormat="1" applyFont="1" applyFill="1" applyBorder="1" applyAlignment="1">
      <alignment horizontal="right" vertical="center"/>
    </xf>
    <xf numFmtId="41" fontId="31" fillId="0" borderId="0" xfId="1" applyFont="1" applyFill="1" applyBorder="1" applyAlignment="1">
      <alignment vertical="center" wrapText="1"/>
    </xf>
    <xf numFmtId="182" fontId="31" fillId="0" borderId="0" xfId="0" applyNumberFormat="1" applyFont="1" applyFill="1" applyBorder="1">
      <alignment vertical="center"/>
    </xf>
    <xf numFmtId="182" fontId="31" fillId="0" borderId="0" xfId="0" applyNumberFormat="1" applyFont="1" applyFill="1" applyBorder="1" applyAlignment="1">
      <alignment vertical="center"/>
    </xf>
    <xf numFmtId="41" fontId="31" fillId="0" borderId="0" xfId="0" applyNumberFormat="1" applyFont="1" applyFill="1" applyBorder="1">
      <alignment vertical="center"/>
    </xf>
    <xf numFmtId="0" fontId="31" fillId="0" borderId="60" xfId="0" applyFont="1" applyFill="1" applyBorder="1" applyAlignment="1">
      <alignment horizontal="right" vertical="center"/>
    </xf>
    <xf numFmtId="41" fontId="31" fillId="0" borderId="49" xfId="1" applyFont="1" applyFill="1" applyBorder="1" applyAlignment="1">
      <alignment horizontal="right" vertical="center"/>
    </xf>
    <xf numFmtId="179" fontId="31" fillId="0" borderId="0" xfId="0" applyNumberFormat="1" applyFont="1" applyBorder="1">
      <alignment vertical="center"/>
    </xf>
    <xf numFmtId="197" fontId="31" fillId="0" borderId="0" xfId="0" applyNumberFormat="1" applyFont="1" applyBorder="1">
      <alignment vertical="center"/>
    </xf>
    <xf numFmtId="0" fontId="31" fillId="0" borderId="61" xfId="0" applyFont="1" applyFill="1" applyBorder="1">
      <alignment vertical="center"/>
    </xf>
    <xf numFmtId="49" fontId="31" fillId="0" borderId="61" xfId="0" applyNumberFormat="1" applyFont="1" applyFill="1" applyBorder="1">
      <alignment vertical="center"/>
    </xf>
    <xf numFmtId="41" fontId="31" fillId="0" borderId="61" xfId="1" applyFont="1" applyBorder="1">
      <alignment vertical="center"/>
    </xf>
    <xf numFmtId="0" fontId="31" fillId="0" borderId="61" xfId="0" applyFont="1" applyBorder="1">
      <alignment vertical="center"/>
    </xf>
    <xf numFmtId="0" fontId="31" fillId="0" borderId="61" xfId="0" applyFont="1" applyBorder="1" applyAlignment="1">
      <alignment vertical="center"/>
    </xf>
    <xf numFmtId="0" fontId="31" fillId="0" borderId="61" xfId="0" applyFont="1" applyBorder="1" applyAlignment="1">
      <alignment horizontal="center" vertical="center"/>
    </xf>
    <xf numFmtId="178" fontId="31" fillId="0" borderId="61" xfId="0" applyNumberFormat="1" applyFont="1" applyBorder="1">
      <alignment vertical="center"/>
    </xf>
    <xf numFmtId="177" fontId="31" fillId="0" borderId="53" xfId="1" applyNumberFormat="1" applyFont="1" applyBorder="1" applyAlignment="1">
      <alignment horizontal="right" vertical="center"/>
    </xf>
    <xf numFmtId="41" fontId="31" fillId="0" borderId="53" xfId="1" applyFont="1" applyBorder="1" applyAlignment="1">
      <alignment horizontal="right" vertical="center"/>
    </xf>
    <xf numFmtId="0" fontId="31" fillId="0" borderId="62" xfId="0" applyFont="1" applyBorder="1" applyAlignment="1">
      <alignment horizontal="right" vertical="center"/>
    </xf>
    <xf numFmtId="179" fontId="31" fillId="0" borderId="0" xfId="0" applyNumberFormat="1" applyFont="1" applyFill="1" applyBorder="1" applyAlignment="1">
      <alignment vertical="center"/>
    </xf>
    <xf numFmtId="179" fontId="31" fillId="0" borderId="0" xfId="0" applyNumberFormat="1" applyFont="1" applyFill="1" applyBorder="1">
      <alignment vertical="center"/>
    </xf>
    <xf numFmtId="180" fontId="31" fillId="0" borderId="0" xfId="0" applyNumberFormat="1" applyFont="1" applyBorder="1">
      <alignment vertical="center"/>
    </xf>
    <xf numFmtId="0" fontId="28" fillId="0" borderId="46" xfId="0" applyFont="1" applyFill="1" applyBorder="1">
      <alignment vertical="center"/>
    </xf>
    <xf numFmtId="0" fontId="31" fillId="0" borderId="46" xfId="0" applyFont="1" applyFill="1" applyBorder="1">
      <alignment vertical="center"/>
    </xf>
    <xf numFmtId="0" fontId="31" fillId="0" borderId="47" xfId="0" applyFont="1" applyFill="1" applyBorder="1">
      <alignment vertical="center"/>
    </xf>
    <xf numFmtId="49" fontId="31" fillId="0" borderId="16" xfId="0" applyNumberFormat="1" applyFont="1" applyFill="1" applyBorder="1" applyAlignment="1">
      <alignment horizontal="left" vertical="center" wrapText="1" indent="1"/>
    </xf>
    <xf numFmtId="41" fontId="31" fillId="0" borderId="16" xfId="1" applyFont="1" applyBorder="1" applyAlignment="1">
      <alignment vertical="center" wrapText="1"/>
    </xf>
    <xf numFmtId="0" fontId="31" fillId="0" borderId="16" xfId="0" applyFont="1" applyBorder="1">
      <alignment vertical="center"/>
    </xf>
    <xf numFmtId="182" fontId="31" fillId="0" borderId="16" xfId="0" applyNumberFormat="1" applyFont="1" applyBorder="1">
      <alignment vertical="center"/>
    </xf>
    <xf numFmtId="182" fontId="31" fillId="0" borderId="16" xfId="0" applyNumberFormat="1" applyFont="1" applyBorder="1" applyAlignment="1">
      <alignment vertical="center"/>
    </xf>
    <xf numFmtId="0" fontId="31" fillId="0" borderId="16" xfId="0" applyFont="1" applyBorder="1" applyAlignment="1">
      <alignment horizontal="center" vertical="center"/>
    </xf>
    <xf numFmtId="41" fontId="31" fillId="0" borderId="16" xfId="0" applyNumberFormat="1" applyFont="1" applyBorder="1">
      <alignment vertical="center"/>
    </xf>
    <xf numFmtId="177" fontId="31" fillId="0" borderId="48" xfId="1" applyNumberFormat="1" applyFont="1" applyBorder="1" applyAlignment="1">
      <alignment horizontal="right" vertical="center"/>
    </xf>
    <xf numFmtId="41" fontId="31" fillId="0" borderId="48" xfId="1" applyFont="1" applyBorder="1" applyAlignment="1">
      <alignment horizontal="right" vertical="center"/>
    </xf>
    <xf numFmtId="0" fontId="31" fillId="0" borderId="58" xfId="0" applyFont="1" applyBorder="1" applyAlignment="1">
      <alignment horizontal="right" vertical="center"/>
    </xf>
    <xf numFmtId="0" fontId="31" fillId="0" borderId="53" xfId="0" applyFont="1" applyFill="1" applyBorder="1">
      <alignment vertical="center"/>
    </xf>
    <xf numFmtId="177" fontId="31" fillId="9" borderId="52" xfId="1" applyNumberFormat="1" applyFont="1" applyFill="1" applyBorder="1" applyAlignment="1">
      <alignment horizontal="right" vertical="center"/>
    </xf>
    <xf numFmtId="176" fontId="31" fillId="9" borderId="59" xfId="2" applyNumberFormat="1" applyFont="1" applyFill="1" applyBorder="1" applyAlignment="1">
      <alignment horizontal="right" vertical="center"/>
    </xf>
    <xf numFmtId="0" fontId="28" fillId="0" borderId="51" xfId="0" applyFont="1" applyFill="1" applyBorder="1">
      <alignment vertical="center"/>
    </xf>
    <xf numFmtId="0" fontId="28" fillId="0" borderId="50" xfId="0" applyFont="1" applyFill="1" applyBorder="1">
      <alignment vertical="center"/>
    </xf>
    <xf numFmtId="49" fontId="28" fillId="0" borderId="50" xfId="0" applyNumberFormat="1" applyFont="1" applyFill="1" applyBorder="1">
      <alignment vertical="center"/>
    </xf>
    <xf numFmtId="41" fontId="28" fillId="0" borderId="50" xfId="1" applyFont="1" applyFill="1" applyBorder="1">
      <alignment vertical="center"/>
    </xf>
    <xf numFmtId="0" fontId="28" fillId="0" borderId="50" xfId="0" applyFont="1" applyFill="1" applyBorder="1" applyAlignment="1">
      <alignment vertical="center"/>
    </xf>
    <xf numFmtId="177" fontId="28" fillId="0" borderId="52" xfId="1" applyNumberFormat="1" applyFont="1" applyFill="1" applyBorder="1" applyAlignment="1">
      <alignment horizontal="right" vertical="center"/>
    </xf>
    <xf numFmtId="176" fontId="28" fillId="0" borderId="59" xfId="0" applyNumberFormat="1" applyFont="1" applyFill="1" applyBorder="1" applyAlignment="1">
      <alignment horizontal="right" vertical="center"/>
    </xf>
    <xf numFmtId="0" fontId="31" fillId="0" borderId="68" xfId="0" applyFont="1" applyFill="1" applyBorder="1">
      <alignment vertical="center"/>
    </xf>
    <xf numFmtId="0" fontId="28" fillId="0" borderId="47" xfId="0" applyFont="1" applyFill="1" applyBorder="1">
      <alignment vertical="center"/>
    </xf>
    <xf numFmtId="49" fontId="28" fillId="0" borderId="16" xfId="0" applyNumberFormat="1" applyFont="1" applyFill="1" applyBorder="1">
      <alignment vertical="center"/>
    </xf>
    <xf numFmtId="41" fontId="28" fillId="0" borderId="16" xfId="1" applyFont="1" applyFill="1" applyBorder="1">
      <alignment vertical="center"/>
    </xf>
    <xf numFmtId="0" fontId="28" fillId="0" borderId="16" xfId="0" applyFont="1" applyFill="1" applyBorder="1">
      <alignment vertical="center"/>
    </xf>
    <xf numFmtId="0" fontId="28" fillId="0" borderId="16" xfId="0" applyFont="1" applyFill="1" applyBorder="1" applyAlignment="1">
      <alignment vertical="center"/>
    </xf>
    <xf numFmtId="0" fontId="28" fillId="0" borderId="16" xfId="0" applyFont="1" applyFill="1" applyBorder="1" applyAlignment="1">
      <alignment horizontal="center" vertical="center"/>
    </xf>
    <xf numFmtId="177" fontId="28" fillId="0" borderId="48" xfId="1" applyNumberFormat="1" applyFont="1" applyFill="1" applyBorder="1" applyAlignment="1">
      <alignment horizontal="right" vertical="center"/>
    </xf>
    <xf numFmtId="177" fontId="31" fillId="9" borderId="48" xfId="1" applyNumberFormat="1" applyFont="1" applyFill="1" applyBorder="1" applyAlignment="1">
      <alignment horizontal="right" vertical="center"/>
    </xf>
    <xf numFmtId="0" fontId="31" fillId="0" borderId="56" xfId="0" applyFont="1" applyBorder="1">
      <alignment vertical="center"/>
    </xf>
    <xf numFmtId="0" fontId="31" fillId="0" borderId="39" xfId="0" applyFont="1" applyFill="1" applyBorder="1">
      <alignment vertical="center"/>
    </xf>
    <xf numFmtId="0" fontId="31" fillId="0" borderId="28" xfId="0" applyFont="1" applyFill="1" applyBorder="1">
      <alignment vertical="center"/>
    </xf>
    <xf numFmtId="0" fontId="33" fillId="0" borderId="0" xfId="0" applyFont="1">
      <alignment vertical="center"/>
    </xf>
    <xf numFmtId="0" fontId="27" fillId="0" borderId="0" xfId="0" applyFont="1" applyFill="1">
      <alignment vertical="center"/>
    </xf>
    <xf numFmtId="49" fontId="27" fillId="0" borderId="0" xfId="0" applyNumberFormat="1" applyFont="1" applyFill="1">
      <alignment vertical="center"/>
    </xf>
    <xf numFmtId="41" fontId="27" fillId="0" borderId="0" xfId="1" applyFont="1">
      <alignment vertical="center"/>
    </xf>
    <xf numFmtId="0" fontId="27" fillId="0" borderId="0" xfId="0" applyFo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177" fontId="27" fillId="0" borderId="0" xfId="1" applyNumberFormat="1" applyFont="1" applyAlignment="1">
      <alignment horizontal="right" vertical="center"/>
    </xf>
    <xf numFmtId="41" fontId="27" fillId="0" borderId="0" xfId="1" applyFont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33" fillId="0" borderId="50" xfId="0" applyFont="1" applyFill="1" applyBorder="1" applyAlignment="1">
      <alignment horizontal="center" vertical="center"/>
    </xf>
    <xf numFmtId="176" fontId="29" fillId="2" borderId="45" xfId="1" applyNumberFormat="1" applyFont="1" applyFill="1" applyBorder="1" applyAlignment="1">
      <alignment horizontal="right" vertical="center"/>
    </xf>
    <xf numFmtId="0" fontId="33" fillId="0" borderId="57" xfId="0" applyFont="1" applyBorder="1">
      <alignment vertical="center"/>
    </xf>
    <xf numFmtId="0" fontId="33" fillId="0" borderId="47" xfId="0" applyFont="1" applyFill="1" applyBorder="1">
      <alignment vertical="center"/>
    </xf>
    <xf numFmtId="0" fontId="33" fillId="0" borderId="16" xfId="0" applyFont="1" applyFill="1" applyBorder="1">
      <alignment vertical="center"/>
    </xf>
    <xf numFmtId="49" fontId="33" fillId="0" borderId="16" xfId="0" applyNumberFormat="1" applyFont="1" applyFill="1" applyBorder="1">
      <alignment vertical="center"/>
    </xf>
    <xf numFmtId="41" fontId="33" fillId="0" borderId="16" xfId="1" applyFont="1" applyBorder="1">
      <alignment vertical="center"/>
    </xf>
    <xf numFmtId="0" fontId="33" fillId="0" borderId="16" xfId="0" applyFont="1" applyBorder="1">
      <alignment vertical="center"/>
    </xf>
    <xf numFmtId="0" fontId="33" fillId="0" borderId="16" xfId="0" applyFont="1" applyBorder="1" applyAlignment="1">
      <alignment horizontal="center" vertical="center"/>
    </xf>
    <xf numFmtId="177" fontId="33" fillId="0" borderId="48" xfId="1" applyNumberFormat="1" applyFont="1" applyBorder="1" applyAlignment="1">
      <alignment horizontal="right" vertical="center"/>
    </xf>
    <xf numFmtId="176" fontId="33" fillId="0" borderId="58" xfId="0" applyNumberFormat="1" applyFont="1" applyBorder="1" applyAlignment="1">
      <alignment horizontal="right" vertical="center"/>
    </xf>
    <xf numFmtId="0" fontId="33" fillId="0" borderId="53" xfId="0" applyFont="1" applyFill="1" applyBorder="1">
      <alignment vertical="center"/>
    </xf>
    <xf numFmtId="0" fontId="33" fillId="0" borderId="50" xfId="0" applyFont="1" applyFill="1" applyBorder="1">
      <alignment vertical="center"/>
    </xf>
    <xf numFmtId="49" fontId="33" fillId="0" borderId="50" xfId="0" applyNumberFormat="1" applyFont="1" applyFill="1" applyBorder="1">
      <alignment vertical="center"/>
    </xf>
    <xf numFmtId="41" fontId="33" fillId="0" borderId="50" xfId="1" applyFont="1" applyBorder="1">
      <alignment vertical="center"/>
    </xf>
    <xf numFmtId="0" fontId="33" fillId="0" borderId="50" xfId="0" applyFont="1" applyBorder="1">
      <alignment vertical="center"/>
    </xf>
    <xf numFmtId="0" fontId="33" fillId="0" borderId="50" xfId="0" applyFont="1" applyBorder="1" applyAlignment="1">
      <alignment vertical="center"/>
    </xf>
    <xf numFmtId="0" fontId="33" fillId="0" borderId="50" xfId="0" applyFont="1" applyBorder="1" applyAlignment="1">
      <alignment horizontal="center" vertical="center"/>
    </xf>
    <xf numFmtId="177" fontId="33" fillId="0" borderId="52" xfId="1" applyNumberFormat="1" applyFont="1" applyBorder="1" applyAlignment="1">
      <alignment horizontal="right" vertical="center"/>
    </xf>
    <xf numFmtId="176" fontId="33" fillId="0" borderId="59" xfId="0" applyNumberFormat="1" applyFont="1" applyBorder="1" applyAlignment="1">
      <alignment horizontal="right" vertical="center"/>
    </xf>
    <xf numFmtId="0" fontId="33" fillId="0" borderId="49" xfId="0" applyFont="1" applyFill="1" applyBorder="1">
      <alignment vertical="center"/>
    </xf>
    <xf numFmtId="0" fontId="33" fillId="0" borderId="0" xfId="0" applyFont="1" applyFill="1" applyBorder="1">
      <alignment vertical="center"/>
    </xf>
    <xf numFmtId="0" fontId="27" fillId="0" borderId="57" xfId="0" applyFont="1" applyBorder="1">
      <alignment vertical="center"/>
    </xf>
    <xf numFmtId="0" fontId="27" fillId="0" borderId="49" xfId="0" applyFont="1" applyFill="1" applyBorder="1">
      <alignment vertical="center"/>
    </xf>
    <xf numFmtId="0" fontId="27" fillId="0" borderId="0" xfId="0" applyFont="1" applyFill="1" applyBorder="1">
      <alignment vertical="center"/>
    </xf>
    <xf numFmtId="49" fontId="27" fillId="9" borderId="50" xfId="0" applyNumberFormat="1" applyFont="1" applyFill="1" applyBorder="1">
      <alignment vertical="center"/>
    </xf>
    <xf numFmtId="41" fontId="27" fillId="9" borderId="50" xfId="1" applyFont="1" applyFill="1" applyBorder="1">
      <alignment vertical="center"/>
    </xf>
    <xf numFmtId="0" fontId="27" fillId="9" borderId="50" xfId="0" applyFont="1" applyFill="1" applyBorder="1" applyAlignment="1">
      <alignment vertical="center"/>
    </xf>
    <xf numFmtId="0" fontId="27" fillId="9" borderId="50" xfId="0" applyFont="1" applyFill="1" applyBorder="1" applyAlignment="1">
      <alignment horizontal="center" vertical="center"/>
    </xf>
    <xf numFmtId="49" fontId="27" fillId="0" borderId="0" xfId="0" applyNumberFormat="1" applyFont="1" applyFill="1" applyBorder="1">
      <alignment vertical="center"/>
    </xf>
    <xf numFmtId="41" fontId="27" fillId="0" borderId="0" xfId="1" applyFont="1" applyFill="1" applyBorder="1">
      <alignment vertical="center"/>
    </xf>
    <xf numFmtId="0" fontId="27" fillId="0" borderId="0" xfId="0" applyFont="1" applyFill="1" applyBorder="1" applyAlignment="1">
      <alignment horizontal="center" vertical="center"/>
    </xf>
    <xf numFmtId="178" fontId="27" fillId="0" borderId="0" xfId="0" applyNumberFormat="1" applyFont="1" applyFill="1" applyBorder="1">
      <alignment vertical="center"/>
    </xf>
    <xf numFmtId="177" fontId="27" fillId="0" borderId="49" xfId="1" applyNumberFormat="1" applyFont="1" applyBorder="1" applyAlignment="1">
      <alignment horizontal="right" vertical="center"/>
    </xf>
    <xf numFmtId="177" fontId="27" fillId="0" borderId="0" xfId="0" applyNumberFormat="1" applyFont="1">
      <alignment vertical="center"/>
    </xf>
    <xf numFmtId="0" fontId="27" fillId="0" borderId="0" xfId="0" applyFont="1" applyFill="1" applyBorder="1" applyAlignment="1">
      <alignment horizontal="left" vertical="center" wrapText="1" indent="1"/>
    </xf>
    <xf numFmtId="49" fontId="27" fillId="0" borderId="0" xfId="0" applyNumberFormat="1" applyFont="1" applyFill="1" applyBorder="1" applyAlignment="1">
      <alignment horizontal="left" vertical="center" wrapText="1" indent="1"/>
    </xf>
    <xf numFmtId="41" fontId="31" fillId="0" borderId="0" xfId="6" applyFont="1" applyFill="1" applyBorder="1" applyAlignment="1">
      <alignment horizontal="right" vertical="center" shrinkToFit="1"/>
    </xf>
    <xf numFmtId="0" fontId="27" fillId="0" borderId="0" xfId="0" applyFont="1" applyBorder="1">
      <alignment vertical="center"/>
    </xf>
    <xf numFmtId="181" fontId="27" fillId="0" borderId="0" xfId="0" applyNumberFormat="1" applyFont="1" applyBorder="1">
      <alignment vertical="center"/>
    </xf>
    <xf numFmtId="182" fontId="27" fillId="0" borderId="0" xfId="0" applyNumberFormat="1" applyFont="1" applyBorder="1">
      <alignment vertical="center"/>
    </xf>
    <xf numFmtId="182" fontId="27" fillId="0" borderId="0" xfId="0" applyNumberFormat="1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41" fontId="27" fillId="0" borderId="0" xfId="0" applyNumberFormat="1" applyFont="1" applyBorder="1">
      <alignment vertical="center"/>
    </xf>
    <xf numFmtId="0" fontId="27" fillId="0" borderId="60" xfId="0" applyFont="1" applyBorder="1" applyAlignment="1">
      <alignment horizontal="right" vertical="center"/>
    </xf>
    <xf numFmtId="0" fontId="27" fillId="0" borderId="0" xfId="0" applyFont="1" applyFill="1" applyBorder="1" applyAlignment="1">
      <alignment horizontal="left" vertical="center" indent="1"/>
    </xf>
    <xf numFmtId="49" fontId="27" fillId="0" borderId="0" xfId="0" applyNumberFormat="1" applyFont="1" applyFill="1" applyBorder="1" applyAlignment="1">
      <alignment horizontal="left" vertical="center" indent="1"/>
    </xf>
    <xf numFmtId="41" fontId="27" fillId="0" borderId="0" xfId="1" applyFont="1" applyBorder="1">
      <alignment vertical="center"/>
    </xf>
    <xf numFmtId="0" fontId="27" fillId="0" borderId="0" xfId="0" applyFont="1" applyBorder="1" applyAlignment="1">
      <alignment vertical="center"/>
    </xf>
    <xf numFmtId="178" fontId="27" fillId="0" borderId="0" xfId="0" applyNumberFormat="1" applyFont="1" applyBorder="1">
      <alignment vertical="center"/>
    </xf>
    <xf numFmtId="41" fontId="27" fillId="0" borderId="0" xfId="1" applyFont="1" applyBorder="1" applyAlignment="1">
      <alignment vertical="center" wrapText="1"/>
    </xf>
    <xf numFmtId="41" fontId="27" fillId="0" borderId="0" xfId="1" applyNumberFormat="1" applyFont="1" applyBorder="1" applyAlignment="1">
      <alignment vertical="center" wrapText="1"/>
    </xf>
    <xf numFmtId="184" fontId="34" fillId="0" borderId="0" xfId="0" applyNumberFormat="1" applyFont="1" applyBorder="1">
      <alignment vertical="center"/>
    </xf>
    <xf numFmtId="0" fontId="27" fillId="9" borderId="51" xfId="0" applyFont="1" applyFill="1" applyBorder="1">
      <alignment vertical="center"/>
    </xf>
    <xf numFmtId="179" fontId="27" fillId="0" borderId="0" xfId="0" applyNumberFormat="1" applyFont="1" applyBorder="1">
      <alignment vertical="center"/>
    </xf>
    <xf numFmtId="0" fontId="27" fillId="0" borderId="61" xfId="0" applyFont="1" applyFill="1" applyBorder="1">
      <alignment vertical="center"/>
    </xf>
    <xf numFmtId="49" fontId="27" fillId="0" borderId="61" xfId="0" applyNumberFormat="1" applyFont="1" applyFill="1" applyBorder="1">
      <alignment vertical="center"/>
    </xf>
    <xf numFmtId="41" fontId="27" fillId="0" borderId="61" xfId="1" applyFont="1" applyBorder="1">
      <alignment vertical="center"/>
    </xf>
    <xf numFmtId="0" fontId="27" fillId="0" borderId="61" xfId="0" applyFont="1" applyBorder="1">
      <alignment vertical="center"/>
    </xf>
    <xf numFmtId="0" fontId="27" fillId="0" borderId="61" xfId="0" applyFont="1" applyBorder="1" applyAlignment="1">
      <alignment horizontal="center" vertical="center"/>
    </xf>
    <xf numFmtId="178" fontId="27" fillId="0" borderId="61" xfId="0" applyNumberFormat="1" applyFont="1" applyBorder="1">
      <alignment vertical="center"/>
    </xf>
    <xf numFmtId="177" fontId="27" fillId="0" borderId="53" xfId="1" applyNumberFormat="1" applyFont="1" applyBorder="1" applyAlignment="1">
      <alignment horizontal="right" vertical="center"/>
    </xf>
    <xf numFmtId="0" fontId="27" fillId="0" borderId="62" xfId="0" applyFont="1" applyBorder="1" applyAlignment="1">
      <alignment horizontal="right" vertical="center"/>
    </xf>
    <xf numFmtId="180" fontId="27" fillId="0" borderId="0" xfId="0" applyNumberFormat="1" applyFont="1" applyBorder="1">
      <alignment vertical="center"/>
    </xf>
    <xf numFmtId="0" fontId="33" fillId="0" borderId="51" xfId="0" applyFont="1" applyFill="1" applyBorder="1">
      <alignment vertical="center"/>
    </xf>
    <xf numFmtId="0" fontId="27" fillId="0" borderId="53" xfId="0" applyFont="1" applyFill="1" applyBorder="1">
      <alignment vertical="center"/>
    </xf>
    <xf numFmtId="0" fontId="33" fillId="9" borderId="50" xfId="0" applyFont="1" applyFill="1" applyBorder="1">
      <alignment vertical="center"/>
    </xf>
    <xf numFmtId="49" fontId="33" fillId="9" borderId="50" xfId="0" applyNumberFormat="1" applyFont="1" applyFill="1" applyBorder="1">
      <alignment vertical="center"/>
    </xf>
    <xf numFmtId="41" fontId="33" fillId="9" borderId="50" xfId="1" applyFont="1" applyFill="1" applyBorder="1">
      <alignment vertical="center"/>
    </xf>
    <xf numFmtId="0" fontId="33" fillId="9" borderId="50" xfId="0" applyFont="1" applyFill="1" applyBorder="1" applyAlignment="1">
      <alignment horizontal="center" vertical="center"/>
    </xf>
    <xf numFmtId="41" fontId="35" fillId="0" borderId="0" xfId="1" applyFont="1" applyBorder="1">
      <alignment vertical="center"/>
    </xf>
    <xf numFmtId="41" fontId="35" fillId="0" borderId="0" xfId="1" applyFont="1" applyBorder="1" applyAlignment="1">
      <alignment vertical="center" wrapText="1"/>
    </xf>
    <xf numFmtId="176" fontId="33" fillId="0" borderId="59" xfId="1" applyNumberFormat="1" applyFont="1" applyBorder="1" applyAlignment="1">
      <alignment horizontal="right" vertical="center"/>
    </xf>
    <xf numFmtId="41" fontId="27" fillId="0" borderId="0" xfId="0" applyNumberFormat="1" applyFont="1">
      <alignment vertical="center"/>
    </xf>
    <xf numFmtId="10" fontId="27" fillId="0" borderId="0" xfId="0" applyNumberFormat="1" applyFont="1">
      <alignment vertical="center"/>
    </xf>
    <xf numFmtId="43" fontId="27" fillId="0" borderId="0" xfId="0" applyNumberFormat="1" applyFont="1">
      <alignment vertical="center"/>
    </xf>
    <xf numFmtId="0" fontId="27" fillId="0" borderId="48" xfId="0" applyFont="1" applyFill="1" applyBorder="1">
      <alignment vertical="center"/>
    </xf>
    <xf numFmtId="0" fontId="27" fillId="0" borderId="16" xfId="0" applyFont="1" applyFill="1" applyBorder="1">
      <alignment vertical="center"/>
    </xf>
    <xf numFmtId="0" fontId="27" fillId="0" borderId="16" xfId="0" applyFont="1" applyFill="1" applyBorder="1" applyAlignment="1">
      <alignment horizontal="left" vertical="center" indent="1"/>
    </xf>
    <xf numFmtId="49" fontId="27" fillId="0" borderId="16" xfId="0" applyNumberFormat="1" applyFont="1" applyFill="1" applyBorder="1" applyAlignment="1">
      <alignment horizontal="left" vertical="center" indent="1"/>
    </xf>
    <xf numFmtId="41" fontId="27" fillId="0" borderId="16" xfId="1" applyFont="1" applyBorder="1">
      <alignment vertical="center"/>
    </xf>
    <xf numFmtId="0" fontId="27" fillId="0" borderId="16" xfId="0" applyFont="1" applyBorder="1">
      <alignment vertical="center"/>
    </xf>
    <xf numFmtId="182" fontId="27" fillId="0" borderId="16" xfId="0" applyNumberFormat="1" applyFont="1" applyBorder="1">
      <alignment vertical="center"/>
    </xf>
    <xf numFmtId="0" fontId="27" fillId="0" borderId="16" xfId="0" applyFont="1" applyBorder="1" applyAlignment="1">
      <alignment horizontal="center" vertical="center"/>
    </xf>
    <xf numFmtId="41" fontId="27" fillId="0" borderId="16" xfId="0" applyNumberFormat="1" applyFont="1" applyBorder="1">
      <alignment vertical="center"/>
    </xf>
    <xf numFmtId="177" fontId="27" fillId="0" borderId="48" xfId="1" applyNumberFormat="1" applyFont="1" applyBorder="1" applyAlignment="1">
      <alignment horizontal="right" vertical="center"/>
    </xf>
    <xf numFmtId="0" fontId="27" fillId="0" borderId="58" xfId="0" applyFont="1" applyBorder="1" applyAlignment="1">
      <alignment horizontal="right" vertical="center"/>
    </xf>
    <xf numFmtId="0" fontId="27" fillId="0" borderId="0" xfId="0" applyFont="1" applyAlignment="1">
      <alignment horizontal="right" vertical="center"/>
    </xf>
    <xf numFmtId="176" fontId="29" fillId="2" borderId="45" xfId="2" applyNumberFormat="1" applyFont="1" applyFill="1" applyBorder="1" applyAlignment="1">
      <alignment horizontal="right" vertical="center"/>
    </xf>
    <xf numFmtId="210" fontId="33" fillId="0" borderId="57" xfId="0" applyNumberFormat="1" applyFont="1" applyBorder="1">
      <alignment vertical="center"/>
    </xf>
    <xf numFmtId="210" fontId="33" fillId="0" borderId="47" xfId="0" applyNumberFormat="1" applyFont="1" applyFill="1" applyBorder="1">
      <alignment vertical="center"/>
    </xf>
    <xf numFmtId="210" fontId="33" fillId="0" borderId="16" xfId="0" applyNumberFormat="1" applyFont="1" applyFill="1" applyBorder="1">
      <alignment vertical="center"/>
    </xf>
    <xf numFmtId="210" fontId="33" fillId="0" borderId="16" xfId="1" applyNumberFormat="1" applyFont="1" applyBorder="1">
      <alignment vertical="center"/>
    </xf>
    <xf numFmtId="210" fontId="33" fillId="0" borderId="16" xfId="0" applyNumberFormat="1" applyFont="1" applyBorder="1">
      <alignment vertical="center"/>
    </xf>
    <xf numFmtId="210" fontId="33" fillId="0" borderId="16" xfId="0" applyNumberFormat="1" applyFont="1" applyBorder="1" applyAlignment="1">
      <alignment vertical="center"/>
    </xf>
    <xf numFmtId="210" fontId="33" fillId="0" borderId="16" xfId="0" applyNumberFormat="1" applyFont="1" applyBorder="1" applyAlignment="1">
      <alignment horizontal="center" vertical="center"/>
    </xf>
    <xf numFmtId="176" fontId="33" fillId="0" borderId="58" xfId="2" applyNumberFormat="1" applyFont="1" applyBorder="1" applyAlignment="1">
      <alignment horizontal="right" vertical="center"/>
    </xf>
    <xf numFmtId="210" fontId="33" fillId="0" borderId="0" xfId="0" applyNumberFormat="1" applyFont="1">
      <alignment vertical="center"/>
    </xf>
    <xf numFmtId="210" fontId="33" fillId="0" borderId="53" xfId="0" applyNumberFormat="1" applyFont="1" applyFill="1" applyBorder="1">
      <alignment vertical="center"/>
    </xf>
    <xf numFmtId="210" fontId="33" fillId="0" borderId="50" xfId="0" applyNumberFormat="1" applyFont="1" applyFill="1" applyBorder="1">
      <alignment vertical="center"/>
    </xf>
    <xf numFmtId="210" fontId="33" fillId="0" borderId="50" xfId="1" applyNumberFormat="1" applyFont="1" applyBorder="1">
      <alignment vertical="center"/>
    </xf>
    <xf numFmtId="210" fontId="33" fillId="0" borderId="50" xfId="0" applyNumberFormat="1" applyFont="1" applyBorder="1">
      <alignment vertical="center"/>
    </xf>
    <xf numFmtId="210" fontId="33" fillId="0" borderId="50" xfId="0" applyNumberFormat="1" applyFont="1" applyBorder="1" applyAlignment="1">
      <alignment vertical="center"/>
    </xf>
    <xf numFmtId="210" fontId="33" fillId="0" borderId="50" xfId="0" applyNumberFormat="1" applyFont="1" applyBorder="1" applyAlignment="1">
      <alignment horizontal="center" vertical="center"/>
    </xf>
    <xf numFmtId="176" fontId="33" fillId="0" borderId="59" xfId="2" applyNumberFormat="1" applyFont="1" applyBorder="1" applyAlignment="1">
      <alignment horizontal="right" vertical="center"/>
    </xf>
    <xf numFmtId="210" fontId="33" fillId="0" borderId="49" xfId="0" applyNumberFormat="1" applyFont="1" applyFill="1" applyBorder="1">
      <alignment vertical="center"/>
    </xf>
    <xf numFmtId="210" fontId="33" fillId="0" borderId="0" xfId="0" applyNumberFormat="1" applyFont="1" applyFill="1" applyBorder="1">
      <alignment vertical="center"/>
    </xf>
    <xf numFmtId="210" fontId="29" fillId="2" borderId="50" xfId="0" applyNumberFormat="1" applyFont="1" applyFill="1" applyBorder="1" applyAlignment="1">
      <alignment vertical="center"/>
    </xf>
    <xf numFmtId="210" fontId="29" fillId="2" borderId="50" xfId="0" applyNumberFormat="1" applyFont="1" applyFill="1" applyBorder="1">
      <alignment vertical="center"/>
    </xf>
    <xf numFmtId="210" fontId="29" fillId="2" borderId="50" xfId="1" applyNumberFormat="1" applyFont="1" applyFill="1" applyBorder="1">
      <alignment vertical="center"/>
    </xf>
    <xf numFmtId="210" fontId="29" fillId="2" borderId="50" xfId="0" applyNumberFormat="1" applyFont="1" applyFill="1" applyBorder="1" applyAlignment="1">
      <alignment horizontal="center" vertical="center"/>
    </xf>
    <xf numFmtId="210" fontId="27" fillId="0" borderId="57" xfId="0" applyNumberFormat="1" applyFont="1" applyBorder="1">
      <alignment vertical="center"/>
    </xf>
    <xf numFmtId="210" fontId="27" fillId="0" borderId="49" xfId="0" applyNumberFormat="1" applyFont="1" applyFill="1" applyBorder="1">
      <alignment vertical="center"/>
    </xf>
    <xf numFmtId="210" fontId="27" fillId="0" borderId="0" xfId="0" applyNumberFormat="1" applyFont="1" applyFill="1" applyBorder="1">
      <alignment vertical="center"/>
    </xf>
    <xf numFmtId="210" fontId="27" fillId="9" borderId="50" xfId="0" applyNumberFormat="1" applyFont="1" applyFill="1" applyBorder="1">
      <alignment vertical="center"/>
    </xf>
    <xf numFmtId="210" fontId="27" fillId="9" borderId="50" xfId="1" applyNumberFormat="1" applyFont="1" applyFill="1" applyBorder="1">
      <alignment vertical="center"/>
    </xf>
    <xf numFmtId="210" fontId="27" fillId="9" borderId="50" xfId="0" applyNumberFormat="1" applyFont="1" applyFill="1" applyBorder="1" applyAlignment="1">
      <alignment vertical="center"/>
    </xf>
    <xf numFmtId="210" fontId="27" fillId="9" borderId="50" xfId="0" applyNumberFormat="1" applyFont="1" applyFill="1" applyBorder="1" applyAlignment="1">
      <alignment horizontal="center" vertical="center"/>
    </xf>
    <xf numFmtId="210" fontId="27" fillId="0" borderId="0" xfId="0" applyNumberFormat="1" applyFont="1">
      <alignment vertical="center"/>
    </xf>
    <xf numFmtId="210" fontId="27" fillId="0" borderId="0" xfId="1" applyNumberFormat="1" applyFont="1" applyFill="1" applyBorder="1">
      <alignment vertical="center"/>
    </xf>
    <xf numFmtId="210" fontId="27" fillId="0" borderId="0" xfId="0" applyNumberFormat="1" applyFont="1" applyFill="1" applyBorder="1" applyAlignment="1">
      <alignment vertical="center"/>
    </xf>
    <xf numFmtId="210" fontId="27" fillId="0" borderId="0" xfId="0" applyNumberFormat="1" applyFont="1" applyFill="1" applyBorder="1" applyAlignment="1">
      <alignment horizontal="center" vertical="center"/>
    </xf>
    <xf numFmtId="194" fontId="27" fillId="0" borderId="0" xfId="0" applyNumberFormat="1" applyFont="1" applyFill="1" applyBorder="1">
      <alignment vertical="center"/>
    </xf>
    <xf numFmtId="176" fontId="27" fillId="0" borderId="60" xfId="2" applyNumberFormat="1" applyFont="1" applyBorder="1" applyAlignment="1">
      <alignment horizontal="right" vertical="center"/>
    </xf>
    <xf numFmtId="183" fontId="27" fillId="0" borderId="0" xfId="1" applyNumberFormat="1" applyFont="1" applyBorder="1" applyAlignment="1">
      <alignment vertical="center" wrapText="1"/>
    </xf>
    <xf numFmtId="210" fontId="27" fillId="0" borderId="0" xfId="1" applyNumberFormat="1" applyFont="1" applyBorder="1">
      <alignment vertical="center"/>
    </xf>
    <xf numFmtId="210" fontId="27" fillId="0" borderId="0" xfId="0" applyNumberFormat="1" applyFont="1" applyBorder="1">
      <alignment vertical="center"/>
    </xf>
    <xf numFmtId="210" fontId="27" fillId="0" borderId="0" xfId="0" applyNumberFormat="1" applyFont="1" applyBorder="1" applyAlignment="1">
      <alignment vertical="center"/>
    </xf>
    <xf numFmtId="210" fontId="27" fillId="0" borderId="0" xfId="0" applyNumberFormat="1" applyFont="1" applyBorder="1" applyAlignment="1">
      <alignment horizontal="center" vertical="center"/>
    </xf>
    <xf numFmtId="194" fontId="27" fillId="0" borderId="0" xfId="0" applyNumberFormat="1" applyFont="1" applyBorder="1">
      <alignment vertical="center"/>
    </xf>
    <xf numFmtId="210" fontId="27" fillId="0" borderId="0" xfId="0" applyNumberFormat="1" applyFont="1" applyFill="1" applyBorder="1" applyAlignment="1">
      <alignment horizontal="left" vertical="center" wrapText="1" indent="1"/>
    </xf>
    <xf numFmtId="210" fontId="27" fillId="0" borderId="0" xfId="1" applyNumberFormat="1" applyFont="1" applyBorder="1" applyAlignment="1">
      <alignment vertical="center" wrapText="1"/>
    </xf>
    <xf numFmtId="210" fontId="27" fillId="0" borderId="0" xfId="0" applyNumberFormat="1" applyFont="1" applyFill="1" applyBorder="1" applyAlignment="1">
      <alignment horizontal="left" vertical="center" indent="1"/>
    </xf>
    <xf numFmtId="212" fontId="27" fillId="9" borderId="50" xfId="0" applyNumberFormat="1" applyFont="1" applyFill="1" applyBorder="1">
      <alignment vertical="center"/>
    </xf>
    <xf numFmtId="212" fontId="27" fillId="9" borderId="50" xfId="1" applyNumberFormat="1" applyFont="1" applyFill="1" applyBorder="1">
      <alignment vertical="center"/>
    </xf>
    <xf numFmtId="212" fontId="27" fillId="9" borderId="50" xfId="0" applyNumberFormat="1" applyFont="1" applyFill="1" applyBorder="1" applyAlignment="1">
      <alignment vertical="center"/>
    </xf>
    <xf numFmtId="212" fontId="27" fillId="9" borderId="50" xfId="0" applyNumberFormat="1" applyFont="1" applyFill="1" applyBorder="1" applyAlignment="1">
      <alignment horizontal="center" vertical="center"/>
    </xf>
    <xf numFmtId="0" fontId="36" fillId="0" borderId="0" xfId="10" applyNumberFormat="1" applyFont="1" applyBorder="1">
      <alignment vertical="center"/>
    </xf>
    <xf numFmtId="0" fontId="36" fillId="0" borderId="0" xfId="10" applyNumberFormat="1" applyFont="1" applyBorder="1" applyAlignment="1">
      <alignment horizontal="left" vertical="center" wrapText="1" indent="1"/>
    </xf>
    <xf numFmtId="212" fontId="27" fillId="0" borderId="57" xfId="0" applyNumberFormat="1" applyFont="1" applyBorder="1">
      <alignment vertical="center"/>
    </xf>
    <xf numFmtId="212" fontId="27" fillId="0" borderId="49" xfId="0" applyNumberFormat="1" applyFont="1" applyFill="1" applyBorder="1">
      <alignment vertical="center"/>
    </xf>
    <xf numFmtId="212" fontId="27" fillId="0" borderId="0" xfId="0" applyNumberFormat="1" applyFont="1" applyFill="1" applyBorder="1">
      <alignment vertical="center"/>
    </xf>
    <xf numFmtId="212" fontId="27" fillId="0" borderId="0" xfId="0" applyNumberFormat="1" applyFont="1">
      <alignment vertical="center"/>
    </xf>
    <xf numFmtId="210" fontId="27" fillId="0" borderId="64" xfId="0" applyNumberFormat="1" applyFont="1" applyFill="1" applyBorder="1">
      <alignment vertical="center"/>
    </xf>
    <xf numFmtId="210" fontId="27" fillId="0" borderId="61" xfId="0" applyNumberFormat="1" applyFont="1" applyFill="1" applyBorder="1">
      <alignment vertical="center"/>
    </xf>
    <xf numFmtId="210" fontId="27" fillId="0" borderId="61" xfId="1" applyNumberFormat="1" applyFont="1" applyBorder="1">
      <alignment vertical="center"/>
    </xf>
    <xf numFmtId="210" fontId="27" fillId="0" borderId="61" xfId="0" applyNumberFormat="1" applyFont="1" applyBorder="1">
      <alignment vertical="center"/>
    </xf>
    <xf numFmtId="210" fontId="27" fillId="0" borderId="61" xfId="0" applyNumberFormat="1" applyFont="1" applyBorder="1" applyAlignment="1">
      <alignment vertical="center"/>
    </xf>
    <xf numFmtId="210" fontId="27" fillId="0" borderId="61" xfId="0" applyNumberFormat="1" applyFont="1" applyBorder="1" applyAlignment="1">
      <alignment horizontal="center" vertical="center"/>
    </xf>
    <xf numFmtId="176" fontId="27" fillId="0" borderId="62" xfId="2" applyNumberFormat="1" applyFont="1" applyBorder="1" applyAlignment="1">
      <alignment horizontal="right" vertical="center"/>
    </xf>
    <xf numFmtId="210" fontId="27" fillId="0" borderId="46" xfId="0" applyNumberFormat="1" applyFont="1" applyFill="1" applyBorder="1">
      <alignment vertical="center"/>
    </xf>
    <xf numFmtId="178" fontId="27" fillId="0" borderId="68" xfId="0" applyNumberFormat="1" applyFont="1" applyBorder="1">
      <alignment vertical="center"/>
    </xf>
    <xf numFmtId="210" fontId="27" fillId="0" borderId="46" xfId="0" applyNumberFormat="1" applyFont="1" applyFill="1" applyBorder="1" applyAlignment="1">
      <alignment horizontal="left" vertical="center" wrapText="1" indent="1"/>
    </xf>
    <xf numFmtId="210" fontId="27" fillId="0" borderId="0" xfId="0" applyNumberFormat="1" applyFont="1" applyFill="1" applyBorder="1" applyAlignment="1">
      <alignment vertical="center" wrapText="1"/>
    </xf>
    <xf numFmtId="210" fontId="27" fillId="0" borderId="47" xfId="0" applyNumberFormat="1" applyFont="1" applyFill="1" applyBorder="1" applyAlignment="1">
      <alignment horizontal="left" vertical="center" indent="1"/>
    </xf>
    <xf numFmtId="210" fontId="27" fillId="0" borderId="16" xfId="0" applyNumberFormat="1" applyFont="1" applyFill="1" applyBorder="1" applyAlignment="1">
      <alignment horizontal="left" vertical="center" indent="1"/>
    </xf>
    <xf numFmtId="210" fontId="27" fillId="0" borderId="16" xfId="1" applyNumberFormat="1" applyFont="1" applyBorder="1">
      <alignment vertical="center"/>
    </xf>
    <xf numFmtId="210" fontId="27" fillId="0" borderId="16" xfId="0" applyNumberFormat="1" applyFont="1" applyBorder="1">
      <alignment vertical="center"/>
    </xf>
    <xf numFmtId="210" fontId="27" fillId="0" borderId="16" xfId="0" applyNumberFormat="1" applyFont="1" applyBorder="1" applyAlignment="1">
      <alignment vertical="center"/>
    </xf>
    <xf numFmtId="210" fontId="27" fillId="0" borderId="16" xfId="0" applyNumberFormat="1" applyFont="1" applyBorder="1" applyAlignment="1">
      <alignment horizontal="center" vertical="center"/>
    </xf>
    <xf numFmtId="176" fontId="27" fillId="0" borderId="58" xfId="2" applyNumberFormat="1" applyFont="1" applyBorder="1" applyAlignment="1">
      <alignment horizontal="right" vertical="center"/>
    </xf>
    <xf numFmtId="0" fontId="27" fillId="9" borderId="16" xfId="0" applyFont="1" applyFill="1" applyBorder="1">
      <alignment vertical="center"/>
    </xf>
    <xf numFmtId="49" fontId="27" fillId="9" borderId="16" xfId="0" applyNumberFormat="1" applyFont="1" applyFill="1" applyBorder="1">
      <alignment vertical="center"/>
    </xf>
    <xf numFmtId="41" fontId="27" fillId="9" borderId="16" xfId="1" applyFont="1" applyFill="1" applyBorder="1">
      <alignment vertical="center"/>
    </xf>
    <xf numFmtId="0" fontId="27" fillId="9" borderId="16" xfId="0" applyFont="1" applyFill="1" applyBorder="1" applyAlignment="1">
      <alignment vertical="center"/>
    </xf>
    <xf numFmtId="0" fontId="27" fillId="9" borderId="16" xfId="0" applyFont="1" applyFill="1" applyBorder="1" applyAlignment="1">
      <alignment horizontal="center" vertical="center"/>
    </xf>
    <xf numFmtId="210" fontId="36" fillId="0" borderId="63" xfId="10" applyNumberFormat="1" applyFont="1" applyFill="1" applyBorder="1">
      <alignment vertical="center"/>
    </xf>
    <xf numFmtId="210" fontId="36" fillId="0" borderId="49" xfId="10" applyNumberFormat="1" applyFont="1" applyFill="1" applyBorder="1">
      <alignment vertical="center"/>
    </xf>
    <xf numFmtId="210" fontId="36" fillId="7" borderId="50" xfId="10" applyNumberFormat="1" applyFont="1" applyFill="1" applyBorder="1">
      <alignment vertical="center"/>
    </xf>
    <xf numFmtId="210" fontId="36" fillId="7" borderId="50" xfId="11" applyNumberFormat="1" applyFont="1" applyFill="1" applyBorder="1">
      <alignment vertical="center"/>
    </xf>
    <xf numFmtId="210" fontId="36" fillId="7" borderId="50" xfId="10" applyNumberFormat="1" applyFont="1" applyFill="1" applyBorder="1" applyAlignment="1">
      <alignment vertical="center"/>
    </xf>
    <xf numFmtId="210" fontId="36" fillId="7" borderId="50" xfId="10" applyNumberFormat="1" applyFont="1" applyFill="1" applyBorder="1" applyAlignment="1">
      <alignment horizontal="center" vertical="center"/>
    </xf>
    <xf numFmtId="177" fontId="36" fillId="7" borderId="52" xfId="11" applyNumberFormat="1" applyFont="1" applyFill="1" applyBorder="1" applyAlignment="1">
      <alignment horizontal="right" vertical="center"/>
    </xf>
    <xf numFmtId="176" fontId="36" fillId="7" borderId="59" xfId="2" applyNumberFormat="1" applyFont="1" applyFill="1" applyBorder="1" applyAlignment="1">
      <alignment horizontal="right" vertical="center"/>
    </xf>
    <xf numFmtId="210" fontId="36" fillId="0" borderId="0" xfId="10" applyNumberFormat="1" applyFont="1">
      <alignment vertical="center"/>
    </xf>
    <xf numFmtId="210" fontId="36" fillId="0" borderId="64" xfId="10" applyNumberFormat="1" applyFont="1" applyBorder="1">
      <alignment vertical="center"/>
    </xf>
    <xf numFmtId="210" fontId="36" fillId="0" borderId="61" xfId="10" applyNumberFormat="1" applyFont="1" applyBorder="1">
      <alignment vertical="center"/>
    </xf>
    <xf numFmtId="210" fontId="36" fillId="0" borderId="61" xfId="11" applyNumberFormat="1" applyFont="1" applyBorder="1">
      <alignment vertical="center"/>
    </xf>
    <xf numFmtId="210" fontId="36" fillId="0" borderId="61" xfId="10" applyNumberFormat="1" applyFont="1" applyBorder="1" applyAlignment="1">
      <alignment vertical="center"/>
    </xf>
    <xf numFmtId="210" fontId="36" fillId="0" borderId="61" xfId="10" applyNumberFormat="1" applyFont="1" applyBorder="1" applyAlignment="1">
      <alignment horizontal="center" vertical="center"/>
    </xf>
    <xf numFmtId="177" fontId="36" fillId="0" borderId="53" xfId="11" applyNumberFormat="1" applyFont="1" applyBorder="1" applyAlignment="1">
      <alignment horizontal="right" vertical="center"/>
    </xf>
    <xf numFmtId="176" fontId="36" fillId="0" borderId="62" xfId="2" applyNumberFormat="1" applyFont="1" applyBorder="1" applyAlignment="1">
      <alignment horizontal="right" vertical="center"/>
    </xf>
    <xf numFmtId="210" fontId="36" fillId="0" borderId="57" xfId="10" applyNumberFormat="1" applyFont="1" applyFill="1" applyBorder="1">
      <alignment vertical="center"/>
    </xf>
    <xf numFmtId="210" fontId="36" fillId="0" borderId="0" xfId="10" applyNumberFormat="1" applyFont="1" applyFill="1" applyBorder="1">
      <alignment vertical="center"/>
    </xf>
    <xf numFmtId="210" fontId="36" fillId="0" borderId="0" xfId="10" applyNumberFormat="1" applyFont="1" applyBorder="1">
      <alignment vertical="center"/>
    </xf>
    <xf numFmtId="180" fontId="36" fillId="0" borderId="0" xfId="10" applyNumberFormat="1" applyFont="1" applyFill="1" applyBorder="1" applyAlignment="1" applyProtection="1">
      <alignment vertical="center"/>
    </xf>
    <xf numFmtId="177" fontId="36" fillId="0" borderId="49" xfId="11" applyNumberFormat="1" applyFont="1" applyBorder="1" applyAlignment="1">
      <alignment horizontal="right" vertical="center"/>
    </xf>
    <xf numFmtId="176" fontId="36" fillId="0" borderId="60" xfId="2" applyNumberFormat="1" applyFont="1" applyBorder="1" applyAlignment="1">
      <alignment horizontal="right" vertical="center"/>
    </xf>
    <xf numFmtId="210" fontId="27" fillId="0" borderId="53" xfId="0" applyNumberFormat="1" applyFont="1" applyFill="1" applyBorder="1">
      <alignment vertical="center"/>
    </xf>
    <xf numFmtId="210" fontId="27" fillId="0" borderId="16" xfId="0" applyNumberFormat="1" applyFont="1" applyFill="1" applyBorder="1" applyAlignment="1">
      <alignment horizontal="left" vertical="center" wrapText="1" indent="1"/>
    </xf>
    <xf numFmtId="210" fontId="27" fillId="0" borderId="48" xfId="0" applyNumberFormat="1" applyFont="1" applyFill="1" applyBorder="1">
      <alignment vertical="center"/>
    </xf>
    <xf numFmtId="210" fontId="27" fillId="0" borderId="16" xfId="0" applyNumberFormat="1" applyFont="1" applyFill="1" applyBorder="1">
      <alignment vertical="center"/>
    </xf>
    <xf numFmtId="0" fontId="29" fillId="2" borderId="51" xfId="0" applyFont="1" applyFill="1" applyBorder="1">
      <alignment vertical="center"/>
    </xf>
    <xf numFmtId="210" fontId="37" fillId="0" borderId="64" xfId="10" applyNumberFormat="1" applyFont="1" applyBorder="1">
      <alignment vertical="center"/>
    </xf>
    <xf numFmtId="210" fontId="27" fillId="0" borderId="61" xfId="11" applyNumberFormat="1" applyFont="1" applyBorder="1">
      <alignment vertical="center"/>
    </xf>
    <xf numFmtId="210" fontId="27" fillId="0" borderId="61" xfId="10" applyNumberFormat="1" applyFont="1" applyBorder="1">
      <alignment vertical="center"/>
    </xf>
    <xf numFmtId="210" fontId="27" fillId="0" borderId="61" xfId="10" applyNumberFormat="1" applyFont="1" applyBorder="1" applyAlignment="1">
      <alignment vertical="center"/>
    </xf>
    <xf numFmtId="210" fontId="27" fillId="0" borderId="61" xfId="10" applyNumberFormat="1" applyFont="1" applyBorder="1" applyAlignment="1">
      <alignment horizontal="center" vertical="center"/>
    </xf>
    <xf numFmtId="210" fontId="37" fillId="0" borderId="0" xfId="10" applyNumberFormat="1" applyFont="1" applyBorder="1">
      <alignment vertical="center"/>
    </xf>
    <xf numFmtId="0" fontId="37" fillId="0" borderId="0" xfId="0" applyFont="1" applyFill="1" applyBorder="1">
      <alignment vertical="center"/>
    </xf>
    <xf numFmtId="0" fontId="37" fillId="0" borderId="16" xfId="0" applyFont="1" applyFill="1" applyBorder="1">
      <alignment vertical="center"/>
    </xf>
    <xf numFmtId="41" fontId="17" fillId="0" borderId="0" xfId="7" applyFont="1" applyBorder="1" applyAlignment="1">
      <alignment horizontal="center" vertical="center"/>
    </xf>
    <xf numFmtId="41" fontId="11" fillId="0" borderId="21" xfId="6" applyFont="1" applyFill="1" applyBorder="1" applyAlignment="1">
      <alignment horizontal="left" vertical="center" indent="1"/>
    </xf>
    <xf numFmtId="0" fontId="28" fillId="10" borderId="66" xfId="0" applyFont="1" applyFill="1" applyBorder="1">
      <alignment vertical="center"/>
    </xf>
    <xf numFmtId="0" fontId="28" fillId="9" borderId="36" xfId="0" applyFont="1" applyFill="1" applyBorder="1">
      <alignment vertical="center"/>
    </xf>
    <xf numFmtId="49" fontId="28" fillId="9" borderId="36" xfId="0" applyNumberFormat="1" applyFont="1" applyFill="1" applyBorder="1">
      <alignment vertical="center"/>
    </xf>
    <xf numFmtId="41" fontId="28" fillId="9" borderId="36" xfId="1" applyFont="1" applyFill="1" applyBorder="1">
      <alignment vertical="center"/>
    </xf>
    <xf numFmtId="0" fontId="28" fillId="9" borderId="36" xfId="0" applyFont="1" applyFill="1" applyBorder="1" applyAlignment="1">
      <alignment vertical="center"/>
    </xf>
    <xf numFmtId="0" fontId="28" fillId="9" borderId="36" xfId="0" applyFont="1" applyFill="1" applyBorder="1" applyAlignment="1">
      <alignment horizontal="center" vertical="center"/>
    </xf>
    <xf numFmtId="177" fontId="31" fillId="9" borderId="66" xfId="1" applyNumberFormat="1" applyFont="1" applyFill="1" applyBorder="1" applyAlignment="1">
      <alignment horizontal="right" vertical="center"/>
    </xf>
    <xf numFmtId="177" fontId="31" fillId="9" borderId="39" xfId="1" applyNumberFormat="1" applyFont="1" applyFill="1" applyBorder="1" applyAlignment="1">
      <alignment horizontal="right" vertical="center"/>
    </xf>
    <xf numFmtId="176" fontId="31" fillId="9" borderId="40" xfId="2" applyNumberFormat="1" applyFont="1" applyFill="1" applyBorder="1" applyAlignment="1">
      <alignment horizontal="right" vertical="center"/>
    </xf>
    <xf numFmtId="0" fontId="31" fillId="0" borderId="51" xfId="0" applyFont="1" applyFill="1" applyBorder="1">
      <alignment vertical="center"/>
    </xf>
    <xf numFmtId="0" fontId="31" fillId="0" borderId="50" xfId="0" applyFont="1" applyFill="1" applyBorder="1" applyAlignment="1">
      <alignment horizontal="left" vertical="center" indent="1"/>
    </xf>
    <xf numFmtId="49" fontId="31" fillId="0" borderId="50" xfId="0" applyNumberFormat="1" applyFont="1" applyFill="1" applyBorder="1" applyAlignment="1">
      <alignment horizontal="left" vertical="center" indent="1"/>
    </xf>
    <xf numFmtId="41" fontId="31" fillId="0" borderId="50" xfId="1" applyFont="1" applyFill="1" applyBorder="1">
      <alignment vertical="center"/>
    </xf>
    <xf numFmtId="0" fontId="31" fillId="0" borderId="50" xfId="0" applyFont="1" applyFill="1" applyBorder="1">
      <alignment vertical="center"/>
    </xf>
    <xf numFmtId="179" fontId="31" fillId="0" borderId="50" xfId="0" applyNumberFormat="1" applyFont="1" applyFill="1" applyBorder="1">
      <alignment vertical="center"/>
    </xf>
    <xf numFmtId="182" fontId="31" fillId="0" borderId="50" xfId="0" applyNumberFormat="1" applyFont="1" applyFill="1" applyBorder="1">
      <alignment vertical="center"/>
    </xf>
    <xf numFmtId="182" fontId="31" fillId="0" borderId="50" xfId="0" applyNumberFormat="1" applyFont="1" applyFill="1" applyBorder="1" applyAlignment="1">
      <alignment vertical="center"/>
    </xf>
    <xf numFmtId="0" fontId="31" fillId="0" borderId="50" xfId="0" applyFont="1" applyFill="1" applyBorder="1" applyAlignment="1">
      <alignment horizontal="center" vertical="center"/>
    </xf>
    <xf numFmtId="41" fontId="31" fillId="0" borderId="50" xfId="0" applyNumberFormat="1" applyFont="1" applyFill="1" applyBorder="1">
      <alignment vertical="center"/>
    </xf>
    <xf numFmtId="176" fontId="28" fillId="0" borderId="58" xfId="0" applyNumberFormat="1" applyFont="1" applyFill="1" applyBorder="1" applyAlignment="1">
      <alignment horizontal="right" vertical="center"/>
    </xf>
    <xf numFmtId="0" fontId="27" fillId="0" borderId="56" xfId="0" applyFont="1" applyBorder="1">
      <alignment vertical="center"/>
    </xf>
    <xf numFmtId="0" fontId="27" fillId="0" borderId="39" xfId="0" applyFont="1" applyFill="1" applyBorder="1">
      <alignment vertical="center"/>
    </xf>
    <xf numFmtId="0" fontId="33" fillId="0" borderId="64" xfId="0" applyFont="1" applyFill="1" applyBorder="1">
      <alignment vertical="center"/>
    </xf>
    <xf numFmtId="177" fontId="33" fillId="0" borderId="53" xfId="1" applyNumberFormat="1" applyFont="1" applyBorder="1" applyAlignment="1">
      <alignment horizontal="right" vertical="center"/>
    </xf>
    <xf numFmtId="176" fontId="33" fillId="0" borderId="62" xfId="0" applyNumberFormat="1" applyFont="1" applyBorder="1" applyAlignment="1">
      <alignment horizontal="right" vertical="center"/>
    </xf>
    <xf numFmtId="0" fontId="33" fillId="0" borderId="39" xfId="0" applyFont="1" applyFill="1" applyBorder="1">
      <alignment vertical="center"/>
    </xf>
    <xf numFmtId="0" fontId="33" fillId="0" borderId="28" xfId="0" applyFont="1" applyFill="1" applyBorder="1">
      <alignment vertical="center"/>
    </xf>
    <xf numFmtId="0" fontId="27" fillId="0" borderId="28" xfId="0" applyFont="1" applyBorder="1" applyAlignment="1">
      <alignment horizontal="left" vertical="center" wrapText="1" indent="1"/>
    </xf>
    <xf numFmtId="41" fontId="27" fillId="0" borderId="28" xfId="1" applyFont="1" applyBorder="1" applyAlignment="1">
      <alignment vertical="center" wrapText="1"/>
    </xf>
    <xf numFmtId="0" fontId="27" fillId="0" borderId="28" xfId="0" applyFont="1" applyBorder="1">
      <alignment vertical="center"/>
    </xf>
    <xf numFmtId="191" fontId="27" fillId="0" borderId="28" xfId="0" applyNumberFormat="1" applyFont="1" applyBorder="1">
      <alignment vertical="center"/>
    </xf>
    <xf numFmtId="182" fontId="27" fillId="0" borderId="28" xfId="0" applyNumberFormat="1" applyFont="1" applyBorder="1">
      <alignment vertical="center"/>
    </xf>
    <xf numFmtId="0" fontId="27" fillId="0" borderId="28" xfId="0" applyFont="1" applyBorder="1" applyAlignment="1">
      <alignment horizontal="center" vertical="center"/>
    </xf>
    <xf numFmtId="41" fontId="27" fillId="0" borderId="28" xfId="0" applyNumberFormat="1" applyFont="1" applyBorder="1">
      <alignment vertical="center"/>
    </xf>
    <xf numFmtId="177" fontId="33" fillId="0" borderId="39" xfId="1" applyNumberFormat="1" applyFont="1" applyBorder="1" applyAlignment="1">
      <alignment horizontal="right" vertical="center"/>
    </xf>
    <xf numFmtId="176" fontId="33" fillId="0" borderId="40" xfId="0" applyNumberFormat="1" applyFont="1" applyBorder="1" applyAlignment="1">
      <alignment horizontal="right" vertical="center"/>
    </xf>
    <xf numFmtId="177" fontId="9" fillId="3" borderId="6" xfId="7" applyNumberFormat="1" applyFont="1" applyFill="1" applyBorder="1" applyAlignment="1">
      <alignment horizontal="right" vertical="center"/>
    </xf>
    <xf numFmtId="177" fontId="9" fillId="0" borderId="6" xfId="7" applyNumberFormat="1" applyFont="1" applyFill="1" applyBorder="1" applyAlignment="1">
      <alignment horizontal="right" vertical="center"/>
    </xf>
    <xf numFmtId="177" fontId="13" fillId="0" borderId="9" xfId="7" applyNumberFormat="1" applyFont="1" applyFill="1" applyBorder="1" applyAlignment="1">
      <alignment horizontal="right" vertical="center"/>
    </xf>
    <xf numFmtId="177" fontId="13" fillId="0" borderId="12" xfId="7" applyNumberFormat="1" applyFont="1" applyFill="1" applyBorder="1" applyAlignment="1">
      <alignment horizontal="right" vertical="center"/>
    </xf>
    <xf numFmtId="177" fontId="14" fillId="0" borderId="6" xfId="7" applyNumberFormat="1" applyFont="1" applyFill="1" applyBorder="1" applyAlignment="1">
      <alignment horizontal="right" vertical="center"/>
    </xf>
    <xf numFmtId="177" fontId="13" fillId="0" borderId="12" xfId="1" applyNumberFormat="1" applyFont="1" applyFill="1" applyBorder="1" applyAlignment="1">
      <alignment horizontal="right" vertical="center"/>
    </xf>
    <xf numFmtId="177" fontId="14" fillId="0" borderId="17" xfId="7" applyNumberFormat="1" applyFont="1" applyFill="1" applyBorder="1" applyAlignment="1">
      <alignment horizontal="right" vertical="center"/>
    </xf>
    <xf numFmtId="177" fontId="9" fillId="0" borderId="6" xfId="7" applyNumberFormat="1" applyFont="1" applyBorder="1" applyAlignment="1">
      <alignment horizontal="right" vertical="center"/>
    </xf>
    <xf numFmtId="177" fontId="11" fillId="0" borderId="12" xfId="7" applyNumberFormat="1" applyFont="1" applyFill="1" applyBorder="1" applyAlignment="1">
      <alignment horizontal="right" vertical="center"/>
    </xf>
    <xf numFmtId="177" fontId="11" fillId="0" borderId="9" xfId="7" applyNumberFormat="1" applyFont="1" applyFill="1" applyBorder="1" applyAlignment="1">
      <alignment horizontal="right" vertical="center"/>
    </xf>
    <xf numFmtId="177" fontId="11" fillId="0" borderId="6" xfId="7" applyNumberFormat="1" applyFont="1" applyFill="1" applyBorder="1" applyAlignment="1">
      <alignment horizontal="right" vertical="center"/>
    </xf>
    <xf numFmtId="177" fontId="13" fillId="0" borderId="17" xfId="7" applyNumberFormat="1" applyFont="1" applyFill="1" applyBorder="1" applyAlignment="1">
      <alignment horizontal="right" vertical="center"/>
    </xf>
    <xf numFmtId="176" fontId="13" fillId="0" borderId="17" xfId="4" applyNumberFormat="1" applyFont="1" applyFill="1" applyBorder="1" applyAlignment="1">
      <alignment horizontal="center" vertical="center"/>
    </xf>
    <xf numFmtId="176" fontId="13" fillId="0" borderId="18" xfId="4" applyNumberFormat="1" applyFont="1" applyFill="1" applyBorder="1" applyAlignment="1">
      <alignment horizontal="center" vertical="center"/>
    </xf>
    <xf numFmtId="177" fontId="13" fillId="0" borderId="4" xfId="7" applyNumberFormat="1" applyFont="1" applyFill="1" applyBorder="1" applyAlignment="1">
      <alignment horizontal="right" vertical="center"/>
    </xf>
    <xf numFmtId="177" fontId="13" fillId="0" borderId="15" xfId="7" applyNumberFormat="1" applyFont="1" applyFill="1" applyBorder="1" applyAlignment="1">
      <alignment horizontal="right" vertical="center"/>
    </xf>
    <xf numFmtId="177" fontId="11" fillId="0" borderId="2" xfId="7" applyNumberFormat="1" applyFont="1" applyFill="1" applyBorder="1" applyAlignment="1">
      <alignment horizontal="right" vertical="center"/>
    </xf>
    <xf numFmtId="177" fontId="11" fillId="0" borderId="4" xfId="7" applyNumberFormat="1" applyFont="1" applyFill="1" applyBorder="1" applyAlignment="1">
      <alignment horizontal="right" vertical="center"/>
    </xf>
    <xf numFmtId="177" fontId="13" fillId="0" borderId="6" xfId="7" applyNumberFormat="1" applyFont="1" applyFill="1" applyBorder="1" applyAlignment="1">
      <alignment horizontal="right" vertical="center"/>
    </xf>
    <xf numFmtId="176" fontId="13" fillId="0" borderId="6" xfId="4" applyNumberFormat="1" applyFont="1" applyFill="1" applyBorder="1" applyAlignment="1">
      <alignment horizontal="center" vertical="center"/>
    </xf>
    <xf numFmtId="176" fontId="13" fillId="0" borderId="7" xfId="4" applyNumberFormat="1" applyFont="1" applyFill="1" applyBorder="1" applyAlignment="1">
      <alignment horizontal="center" vertical="center"/>
    </xf>
    <xf numFmtId="177" fontId="15" fillId="0" borderId="0" xfId="8" applyNumberFormat="1" applyFont="1" applyFill="1" applyAlignment="1">
      <alignment horizontal="right"/>
    </xf>
    <xf numFmtId="177" fontId="15" fillId="0" borderId="0" xfId="8" applyNumberFormat="1" applyFont="1" applyAlignment="1">
      <alignment horizontal="right"/>
    </xf>
    <xf numFmtId="177" fontId="5" fillId="0" borderId="0" xfId="5" applyNumberFormat="1" applyFont="1" applyBorder="1" applyAlignment="1">
      <alignment horizontal="right" vertical="center"/>
    </xf>
    <xf numFmtId="41" fontId="13" fillId="0" borderId="22" xfId="7" applyFont="1" applyFill="1" applyBorder="1" applyAlignment="1">
      <alignment horizontal="right" vertical="center"/>
    </xf>
    <xf numFmtId="41" fontId="13" fillId="0" borderId="12" xfId="7" applyFont="1" applyFill="1" applyBorder="1" applyAlignment="1">
      <alignment horizontal="right" vertical="center"/>
    </xf>
    <xf numFmtId="41" fontId="5" fillId="0" borderId="0" xfId="7" applyFont="1" applyAlignment="1">
      <alignment horizontal="right" vertical="center"/>
    </xf>
    <xf numFmtId="41" fontId="17" fillId="0" borderId="0" xfId="7" applyFont="1" applyBorder="1" applyAlignment="1">
      <alignment horizontal="right" vertical="center"/>
    </xf>
    <xf numFmtId="0" fontId="15" fillId="0" borderId="0" xfId="8" applyFont="1" applyFill="1" applyBorder="1" applyAlignment="1">
      <alignment horizontal="right"/>
    </xf>
    <xf numFmtId="0" fontId="15" fillId="0" borderId="0" xfId="8" applyFont="1" applyBorder="1" applyAlignment="1">
      <alignment horizontal="right"/>
    </xf>
    <xf numFmtId="177" fontId="9" fillId="0" borderId="12" xfId="7" applyNumberFormat="1" applyFont="1" applyFill="1" applyBorder="1" applyAlignment="1">
      <alignment horizontal="right" vertical="center"/>
    </xf>
    <xf numFmtId="176" fontId="9" fillId="0" borderId="12" xfId="4" applyNumberFormat="1" applyFont="1" applyFill="1" applyBorder="1" applyAlignment="1">
      <alignment horizontal="center" vertical="center"/>
    </xf>
    <xf numFmtId="176" fontId="9" fillId="0" borderId="13" xfId="4" applyNumberFormat="1" applyFont="1" applyFill="1" applyBorder="1" applyAlignment="1">
      <alignment horizontal="center" vertical="center"/>
    </xf>
    <xf numFmtId="0" fontId="5" fillId="0" borderId="0" xfId="5" applyFont="1" applyBorder="1" applyAlignment="1">
      <alignment horizontal="right" vertical="center"/>
    </xf>
    <xf numFmtId="41" fontId="15" fillId="0" borderId="0" xfId="6" applyFont="1" applyFill="1" applyAlignment="1">
      <alignment horizontal="right"/>
    </xf>
    <xf numFmtId="41" fontId="15" fillId="0" borderId="0" xfId="8" applyNumberFormat="1" applyFont="1" applyFill="1" applyAlignment="1">
      <alignment horizontal="right"/>
    </xf>
    <xf numFmtId="41" fontId="9" fillId="3" borderId="86" xfId="6" applyFont="1" applyFill="1" applyBorder="1" applyAlignment="1" applyProtection="1">
      <alignment horizontal="left" vertical="center" wrapText="1"/>
      <protection locked="0"/>
    </xf>
    <xf numFmtId="176" fontId="9" fillId="3" borderId="87" xfId="3" applyNumberFormat="1" applyFont="1" applyFill="1" applyBorder="1" applyAlignment="1">
      <alignment horizontal="center" vertical="center"/>
    </xf>
    <xf numFmtId="41" fontId="9" fillId="0" borderId="86" xfId="6" applyFont="1" applyBorder="1" applyAlignment="1">
      <alignment vertical="center"/>
    </xf>
    <xf numFmtId="41" fontId="13" fillId="0" borderId="88" xfId="6" applyFont="1" applyFill="1" applyBorder="1" applyAlignment="1">
      <alignment horizontal="left" vertical="center" indent="1"/>
    </xf>
    <xf numFmtId="176" fontId="13" fillId="0" borderId="89" xfId="4" applyNumberFormat="1" applyFont="1" applyFill="1" applyBorder="1" applyAlignment="1">
      <alignment horizontal="center" vertical="center"/>
    </xf>
    <xf numFmtId="41" fontId="13" fillId="0" borderId="82" xfId="6" applyFont="1" applyFill="1" applyBorder="1" applyAlignment="1">
      <alignment horizontal="left" vertical="center" indent="1"/>
    </xf>
    <xf numFmtId="176" fontId="13" fillId="0" borderId="83" xfId="4" applyNumberFormat="1" applyFont="1" applyFill="1" applyBorder="1" applyAlignment="1">
      <alignment horizontal="center" vertical="center"/>
    </xf>
    <xf numFmtId="41" fontId="14" fillId="10" borderId="86" xfId="6" applyFont="1" applyFill="1" applyBorder="1" applyAlignment="1">
      <alignment vertical="center"/>
    </xf>
    <xf numFmtId="176" fontId="14" fillId="0" borderId="87" xfId="4" applyNumberFormat="1" applyFont="1" applyFill="1" applyBorder="1" applyAlignment="1">
      <alignment horizontal="center" vertical="center"/>
    </xf>
    <xf numFmtId="41" fontId="14" fillId="0" borderId="86" xfId="6" applyFont="1" applyFill="1" applyBorder="1" applyAlignment="1">
      <alignment vertical="center"/>
    </xf>
    <xf numFmtId="41" fontId="13" fillId="0" borderId="90" xfId="6" applyFont="1" applyFill="1" applyBorder="1" applyAlignment="1">
      <alignment horizontal="left" vertical="center" indent="1"/>
    </xf>
    <xf numFmtId="41" fontId="14" fillId="0" borderId="92" xfId="6" applyFont="1" applyFill="1" applyBorder="1" applyAlignment="1">
      <alignment vertical="center"/>
    </xf>
    <xf numFmtId="176" fontId="9" fillId="0" borderId="87" xfId="3" applyNumberFormat="1" applyFont="1" applyFill="1" applyBorder="1" applyAlignment="1">
      <alignment horizontal="center" vertical="center"/>
    </xf>
    <xf numFmtId="41" fontId="11" fillId="0" borderId="82" xfId="6" applyFont="1" applyFill="1" applyBorder="1" applyAlignment="1">
      <alignment horizontal="left" vertical="center" indent="1"/>
    </xf>
    <xf numFmtId="176" fontId="11" fillId="0" borderId="83" xfId="4" applyNumberFormat="1" applyFont="1" applyFill="1" applyBorder="1" applyAlignment="1">
      <alignment horizontal="center" vertical="center"/>
    </xf>
    <xf numFmtId="41" fontId="9" fillId="0" borderId="86" xfId="6" applyFont="1" applyFill="1" applyBorder="1" applyAlignment="1">
      <alignment vertical="center"/>
    </xf>
    <xf numFmtId="41" fontId="11" fillId="0" borderId="88" xfId="6" applyFont="1" applyFill="1" applyBorder="1" applyAlignment="1">
      <alignment horizontal="left" vertical="center" indent="1"/>
    </xf>
    <xf numFmtId="176" fontId="11" fillId="0" borderId="89" xfId="4" applyNumberFormat="1" applyFont="1" applyFill="1" applyBorder="1" applyAlignment="1">
      <alignment horizontal="center" vertical="center"/>
    </xf>
    <xf numFmtId="176" fontId="11" fillId="0" borderId="96" xfId="4" applyNumberFormat="1" applyFont="1" applyFill="1" applyBorder="1" applyAlignment="1">
      <alignment horizontal="center" vertical="center"/>
    </xf>
    <xf numFmtId="41" fontId="11" fillId="0" borderId="90" xfId="6" applyFont="1" applyFill="1" applyBorder="1" applyAlignment="1">
      <alignment horizontal="left" vertical="center" indent="1"/>
    </xf>
    <xf numFmtId="41" fontId="11" fillId="0" borderId="97" xfId="6" applyFont="1" applyFill="1" applyBorder="1" applyAlignment="1">
      <alignment horizontal="left" vertical="center" indent="1"/>
    </xf>
    <xf numFmtId="49" fontId="27" fillId="0" borderId="0" xfId="0" applyNumberFormat="1" applyFont="1" applyFill="1" applyBorder="1" applyAlignment="1">
      <alignment vertical="center"/>
    </xf>
    <xf numFmtId="49" fontId="27" fillId="0" borderId="0" xfId="0" applyNumberFormat="1" applyFont="1" applyFill="1" applyBorder="1" applyAlignment="1">
      <alignment vertical="center" wrapText="1"/>
    </xf>
    <xf numFmtId="177" fontId="28" fillId="10" borderId="52" xfId="1" applyNumberFormat="1" applyFont="1" applyFill="1" applyBorder="1" applyAlignment="1">
      <alignment horizontal="right" vertical="center"/>
    </xf>
    <xf numFmtId="0" fontId="33" fillId="13" borderId="0" xfId="0" applyFont="1" applyFill="1">
      <alignment vertical="center"/>
    </xf>
    <xf numFmtId="0" fontId="27" fillId="13" borderId="0" xfId="0" applyFont="1" applyFill="1">
      <alignment vertical="center"/>
    </xf>
    <xf numFmtId="0" fontId="33" fillId="13" borderId="0" xfId="0" applyFont="1" applyFill="1" applyAlignment="1">
      <alignment horizontal="center" vertical="center"/>
    </xf>
    <xf numFmtId="210" fontId="33" fillId="13" borderId="0" xfId="0" applyNumberFormat="1" applyFont="1" applyFill="1">
      <alignment vertical="center"/>
    </xf>
    <xf numFmtId="210" fontId="27" fillId="13" borderId="0" xfId="0" applyNumberFormat="1" applyFont="1" applyFill="1">
      <alignment vertical="center"/>
    </xf>
    <xf numFmtId="177" fontId="27" fillId="13" borderId="0" xfId="0" applyNumberFormat="1" applyFont="1" applyFill="1">
      <alignment vertical="center"/>
    </xf>
    <xf numFmtId="212" fontId="27" fillId="13" borderId="0" xfId="0" applyNumberFormat="1" applyFont="1" applyFill="1">
      <alignment vertical="center"/>
    </xf>
    <xf numFmtId="213" fontId="27" fillId="13" borderId="0" xfId="0" applyNumberFormat="1" applyFont="1" applyFill="1">
      <alignment vertical="center"/>
    </xf>
    <xf numFmtId="210" fontId="36" fillId="13" borderId="0" xfId="10" applyNumberFormat="1" applyFont="1" applyFill="1">
      <alignment vertical="center"/>
    </xf>
    <xf numFmtId="0" fontId="31" fillId="9" borderId="50" xfId="0" applyFont="1" applyFill="1" applyBorder="1">
      <alignment vertical="center"/>
    </xf>
    <xf numFmtId="41" fontId="31" fillId="9" borderId="50" xfId="1" applyFont="1" applyFill="1" applyBorder="1">
      <alignment vertical="center"/>
    </xf>
    <xf numFmtId="0" fontId="31" fillId="9" borderId="50" xfId="0" applyFont="1" applyFill="1" applyBorder="1" applyAlignment="1">
      <alignment vertical="center"/>
    </xf>
    <xf numFmtId="0" fontId="31" fillId="9" borderId="50" xfId="0" applyFont="1" applyFill="1" applyBorder="1" applyAlignment="1">
      <alignment horizontal="center" vertical="center"/>
    </xf>
    <xf numFmtId="0" fontId="31" fillId="9" borderId="51" xfId="0" applyFont="1" applyFill="1" applyBorder="1">
      <alignment vertical="center"/>
    </xf>
    <xf numFmtId="49" fontId="31" fillId="9" borderId="50" xfId="0" applyNumberFormat="1" applyFont="1" applyFill="1" applyBorder="1">
      <alignment vertical="center"/>
    </xf>
    <xf numFmtId="9" fontId="31" fillId="9" borderId="59" xfId="2" applyNumberFormat="1" applyFont="1" applyFill="1" applyBorder="1" applyAlignment="1">
      <alignment horizontal="right" vertical="center"/>
    </xf>
    <xf numFmtId="0" fontId="33" fillId="0" borderId="51" xfId="0" applyFont="1" applyFill="1" applyBorder="1" applyAlignment="1">
      <alignment vertical="center"/>
    </xf>
    <xf numFmtId="0" fontId="33" fillId="0" borderId="50" xfId="0" applyFont="1" applyFill="1" applyBorder="1" applyAlignment="1">
      <alignment vertical="center"/>
    </xf>
    <xf numFmtId="0" fontId="33" fillId="0" borderId="0" xfId="0" applyFont="1" applyFill="1" applyBorder="1" applyAlignment="1">
      <alignment vertical="center"/>
    </xf>
    <xf numFmtId="0" fontId="39" fillId="0" borderId="0" xfId="0" applyFont="1">
      <alignment vertical="center"/>
    </xf>
    <xf numFmtId="0" fontId="27" fillId="0" borderId="46" xfId="0" applyFont="1" applyFill="1" applyBorder="1">
      <alignment vertical="center"/>
    </xf>
    <xf numFmtId="0" fontId="42" fillId="0" borderId="0" xfId="0" applyFont="1">
      <alignment vertical="center"/>
    </xf>
    <xf numFmtId="0" fontId="0" fillId="0" borderId="0" xfId="0" applyFont="1">
      <alignment vertical="center"/>
    </xf>
    <xf numFmtId="0" fontId="43" fillId="0" borderId="0" xfId="0" applyFont="1">
      <alignment vertical="center"/>
    </xf>
    <xf numFmtId="0" fontId="4" fillId="0" borderId="0" xfId="0" applyFont="1">
      <alignment vertical="center"/>
    </xf>
    <xf numFmtId="177" fontId="0" fillId="0" borderId="0" xfId="1" applyNumberFormat="1" applyFont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187" fontId="31" fillId="0" borderId="0" xfId="0" applyNumberFormat="1" applyFont="1" applyFill="1" applyBorder="1" applyAlignment="1">
      <alignment horizontal="center" vertical="center" shrinkToFit="1"/>
    </xf>
    <xf numFmtId="176" fontId="11" fillId="0" borderId="104" xfId="4" applyNumberFormat="1" applyFont="1" applyFill="1" applyBorder="1" applyAlignment="1">
      <alignment horizontal="center" vertical="center"/>
    </xf>
    <xf numFmtId="176" fontId="13" fillId="0" borderId="106" xfId="4" applyNumberFormat="1" applyFont="1" applyFill="1" applyBorder="1" applyAlignment="1">
      <alignment horizontal="center" vertical="center"/>
    </xf>
    <xf numFmtId="177" fontId="11" fillId="0" borderId="101" xfId="7" applyNumberFormat="1" applyFont="1" applyFill="1" applyBorder="1" applyAlignment="1">
      <alignment horizontal="right" vertical="center"/>
    </xf>
    <xf numFmtId="176" fontId="11" fillId="0" borderId="101" xfId="4" applyNumberFormat="1" applyFont="1" applyFill="1" applyBorder="1" applyAlignment="1">
      <alignment horizontal="center" vertical="center"/>
    </xf>
    <xf numFmtId="176" fontId="11" fillId="0" borderId="102" xfId="4" applyNumberFormat="1" applyFont="1" applyFill="1" applyBorder="1" applyAlignment="1">
      <alignment horizontal="center" vertical="center"/>
    </xf>
    <xf numFmtId="176" fontId="13" fillId="0" borderId="85" xfId="4" applyNumberFormat="1" applyFont="1" applyFill="1" applyBorder="1" applyAlignment="1">
      <alignment horizontal="center" vertical="center"/>
    </xf>
    <xf numFmtId="41" fontId="11" fillId="0" borderId="110" xfId="6" applyFont="1" applyFill="1" applyBorder="1" applyAlignment="1">
      <alignment horizontal="left" vertical="center" indent="1"/>
    </xf>
    <xf numFmtId="41" fontId="13" fillId="0" borderId="92" xfId="6" applyFont="1" applyFill="1" applyBorder="1" applyAlignment="1">
      <alignment horizontal="left" vertical="center" indent="1"/>
    </xf>
    <xf numFmtId="41" fontId="13" fillId="0" borderId="86" xfId="6" applyFont="1" applyFill="1" applyBorder="1" applyAlignment="1">
      <alignment horizontal="left" vertical="center" indent="1"/>
    </xf>
    <xf numFmtId="41" fontId="13" fillId="0" borderId="90" xfId="6" applyFont="1" applyFill="1" applyBorder="1" applyAlignment="1">
      <alignment horizontal="left" vertical="center" indent="2"/>
    </xf>
    <xf numFmtId="41" fontId="13" fillId="0" borderId="82" xfId="6" applyFont="1" applyFill="1" applyBorder="1" applyAlignment="1">
      <alignment horizontal="left" vertical="center" indent="2"/>
    </xf>
    <xf numFmtId="176" fontId="11" fillId="0" borderId="116" xfId="4" applyNumberFormat="1" applyFont="1" applyFill="1" applyBorder="1" applyAlignment="1">
      <alignment horizontal="center" vertical="center"/>
    </xf>
    <xf numFmtId="41" fontId="11" fillId="0" borderId="84" xfId="6" applyFont="1" applyFill="1" applyBorder="1" applyAlignment="1">
      <alignment horizontal="left" vertical="center" indent="1"/>
    </xf>
    <xf numFmtId="41" fontId="9" fillId="0" borderId="82" xfId="6" applyFont="1" applyFill="1" applyBorder="1" applyAlignment="1">
      <alignment vertical="center"/>
    </xf>
    <xf numFmtId="41" fontId="12" fillId="2" borderId="114" xfId="6" applyFont="1" applyFill="1" applyBorder="1" applyAlignment="1">
      <alignment horizontal="center" vertical="center"/>
    </xf>
    <xf numFmtId="177" fontId="12" fillId="2" borderId="20" xfId="7" applyNumberFormat="1" applyFont="1" applyFill="1" applyBorder="1" applyAlignment="1">
      <alignment horizontal="right" vertical="center"/>
    </xf>
    <xf numFmtId="176" fontId="12" fillId="2" borderId="20" xfId="3" applyNumberFormat="1" applyFont="1" applyFill="1" applyBorder="1" applyAlignment="1">
      <alignment horizontal="center" vertical="center"/>
    </xf>
    <xf numFmtId="176" fontId="12" fillId="2" borderId="115" xfId="3" applyNumberFormat="1" applyFont="1" applyFill="1" applyBorder="1" applyAlignment="1">
      <alignment horizontal="center" vertical="center"/>
    </xf>
    <xf numFmtId="41" fontId="12" fillId="2" borderId="19" xfId="6" applyFont="1" applyFill="1" applyBorder="1" applyAlignment="1">
      <alignment horizontal="center" vertical="center"/>
    </xf>
    <xf numFmtId="176" fontId="12" fillId="2" borderId="117" xfId="3" applyNumberFormat="1" applyFont="1" applyFill="1" applyBorder="1" applyAlignment="1">
      <alignment horizontal="center" vertical="center"/>
    </xf>
    <xf numFmtId="177" fontId="9" fillId="15" borderId="101" xfId="5" applyNumberFormat="1" applyFont="1" applyFill="1" applyBorder="1" applyAlignment="1">
      <alignment horizontal="center" vertical="center"/>
    </xf>
    <xf numFmtId="0" fontId="9" fillId="15" borderId="101" xfId="5" applyFont="1" applyFill="1" applyBorder="1" applyAlignment="1">
      <alignment horizontal="center" vertical="center"/>
    </xf>
    <xf numFmtId="177" fontId="9" fillId="15" borderId="101" xfId="7" applyNumberFormat="1" applyFont="1" applyFill="1" applyBorder="1" applyAlignment="1">
      <alignment horizontal="center" vertical="center"/>
    </xf>
    <xf numFmtId="0" fontId="9" fillId="15" borderId="102" xfId="5" applyFont="1" applyFill="1" applyBorder="1" applyAlignment="1">
      <alignment horizontal="center" vertical="center"/>
    </xf>
    <xf numFmtId="0" fontId="31" fillId="9" borderId="36" xfId="0" applyFont="1" applyFill="1" applyBorder="1">
      <alignment vertical="center"/>
    </xf>
    <xf numFmtId="0" fontId="29" fillId="2" borderId="47" xfId="0" applyFont="1" applyFill="1" applyBorder="1">
      <alignment vertical="center"/>
    </xf>
    <xf numFmtId="49" fontId="29" fillId="2" borderId="16" xfId="0" applyNumberFormat="1" applyFont="1" applyFill="1" applyBorder="1">
      <alignment vertical="center"/>
    </xf>
    <xf numFmtId="41" fontId="29" fillId="2" borderId="16" xfId="1" applyFont="1" applyFill="1" applyBorder="1">
      <alignment vertical="center"/>
    </xf>
    <xf numFmtId="0" fontId="29" fillId="2" borderId="16" xfId="0" applyFont="1" applyFill="1" applyBorder="1">
      <alignment vertical="center"/>
    </xf>
    <xf numFmtId="0" fontId="29" fillId="2" borderId="16" xfId="0" applyFont="1" applyFill="1" applyBorder="1" applyAlignment="1">
      <alignment vertical="center"/>
    </xf>
    <xf numFmtId="0" fontId="29" fillId="2" borderId="16" xfId="0" applyFont="1" applyFill="1" applyBorder="1" applyAlignment="1">
      <alignment horizontal="center" vertical="center"/>
    </xf>
    <xf numFmtId="177" fontId="29" fillId="2" borderId="48" xfId="1" applyNumberFormat="1" applyFont="1" applyFill="1" applyBorder="1" applyAlignment="1">
      <alignment horizontal="right" vertical="center"/>
    </xf>
    <xf numFmtId="0" fontId="31" fillId="0" borderId="118" xfId="0" applyFont="1" applyBorder="1">
      <alignment vertical="center"/>
    </xf>
    <xf numFmtId="0" fontId="31" fillId="0" borderId="48" xfId="0" applyFont="1" applyFill="1" applyBorder="1">
      <alignment vertical="center"/>
    </xf>
    <xf numFmtId="0" fontId="31" fillId="0" borderId="16" xfId="0" applyFont="1" applyFill="1" applyBorder="1">
      <alignment vertical="center"/>
    </xf>
    <xf numFmtId="0" fontId="31" fillId="0" borderId="52" xfId="0" applyFont="1" applyFill="1" applyBorder="1">
      <alignment vertical="center"/>
    </xf>
    <xf numFmtId="0" fontId="31" fillId="9" borderId="16" xfId="0" applyFont="1" applyFill="1" applyBorder="1">
      <alignment vertical="center"/>
    </xf>
    <xf numFmtId="49" fontId="31" fillId="9" borderId="16" xfId="0" applyNumberFormat="1" applyFont="1" applyFill="1" applyBorder="1">
      <alignment vertical="center"/>
    </xf>
    <xf numFmtId="41" fontId="31" fillId="9" borderId="16" xfId="1" applyFont="1" applyFill="1" applyBorder="1">
      <alignment vertical="center"/>
    </xf>
    <xf numFmtId="0" fontId="31" fillId="9" borderId="16" xfId="0" applyFont="1" applyFill="1" applyBorder="1" applyAlignment="1">
      <alignment vertical="center"/>
    </xf>
    <xf numFmtId="0" fontId="31" fillId="9" borderId="16" xfId="0" applyFont="1" applyFill="1" applyBorder="1" applyAlignment="1">
      <alignment horizontal="center" vertical="center"/>
    </xf>
    <xf numFmtId="176" fontId="31" fillId="9" borderId="58" xfId="2" applyNumberFormat="1" applyFont="1" applyFill="1" applyBorder="1" applyAlignment="1">
      <alignment horizontal="right" vertical="center"/>
    </xf>
    <xf numFmtId="0" fontId="31" fillId="0" borderId="16" xfId="0" applyFont="1" applyFill="1" applyBorder="1" applyAlignment="1">
      <alignment horizontal="left" vertical="center" wrapText="1" indent="1"/>
    </xf>
    <xf numFmtId="0" fontId="29" fillId="2" borderId="51" xfId="0" applyFont="1" applyFill="1" applyBorder="1" applyAlignment="1">
      <alignment vertical="center"/>
    </xf>
    <xf numFmtId="176" fontId="29" fillId="2" borderId="59" xfId="1" applyNumberFormat="1" applyFont="1" applyFill="1" applyBorder="1" applyAlignment="1">
      <alignment horizontal="right" vertical="center"/>
    </xf>
    <xf numFmtId="0" fontId="27" fillId="0" borderId="0" xfId="0" applyFont="1" applyBorder="1" applyAlignment="1">
      <alignment vertical="center" wrapText="1"/>
    </xf>
    <xf numFmtId="3" fontId="27" fillId="0" borderId="0" xfId="0" applyNumberFormat="1" applyFont="1" applyBorder="1">
      <alignment vertical="center"/>
    </xf>
    <xf numFmtId="0" fontId="27" fillId="0" borderId="118" xfId="0" applyFont="1" applyBorder="1">
      <alignment vertical="center"/>
    </xf>
    <xf numFmtId="0" fontId="27" fillId="0" borderId="16" xfId="0" applyFont="1" applyFill="1" applyBorder="1" applyAlignment="1">
      <alignment horizontal="left" vertical="center" wrapText="1" indent="1"/>
    </xf>
    <xf numFmtId="49" fontId="27" fillId="0" borderId="16" xfId="0" applyNumberFormat="1" applyFont="1" applyFill="1" applyBorder="1" applyAlignment="1">
      <alignment horizontal="left" vertical="center" wrapText="1" indent="1"/>
    </xf>
    <xf numFmtId="41" fontId="27" fillId="0" borderId="16" xfId="1" applyFont="1" applyBorder="1" applyAlignment="1">
      <alignment vertical="center" wrapText="1"/>
    </xf>
    <xf numFmtId="180" fontId="27" fillId="0" borderId="16" xfId="0" applyNumberFormat="1" applyFont="1" applyBorder="1">
      <alignment vertical="center"/>
    </xf>
    <xf numFmtId="0" fontId="33" fillId="0" borderId="16" xfId="0" applyFont="1" applyBorder="1" applyAlignment="1">
      <alignment vertical="center"/>
    </xf>
    <xf numFmtId="210" fontId="27" fillId="0" borderId="118" xfId="0" applyNumberFormat="1" applyFont="1" applyBorder="1">
      <alignment vertical="center"/>
    </xf>
    <xf numFmtId="210" fontId="36" fillId="0" borderId="16" xfId="10" applyNumberFormat="1" applyFont="1" applyBorder="1">
      <alignment vertical="center"/>
    </xf>
    <xf numFmtId="210" fontId="27" fillId="0" borderId="16" xfId="1" applyNumberFormat="1" applyFont="1" applyBorder="1" applyAlignment="1">
      <alignment vertical="center" wrapText="1"/>
    </xf>
    <xf numFmtId="180" fontId="36" fillId="0" borderId="16" xfId="10" applyNumberFormat="1" applyFont="1" applyFill="1" applyBorder="1" applyAlignment="1" applyProtection="1">
      <alignment vertical="center"/>
    </xf>
    <xf numFmtId="177" fontId="36" fillId="0" borderId="48" xfId="11" applyNumberFormat="1" applyFont="1" applyBorder="1" applyAlignment="1">
      <alignment horizontal="right" vertical="center"/>
    </xf>
    <xf numFmtId="176" fontId="36" fillId="0" borderId="58" xfId="2" applyNumberFormat="1" applyFont="1" applyBorder="1" applyAlignment="1">
      <alignment horizontal="right" vertical="center"/>
    </xf>
    <xf numFmtId="210" fontId="27" fillId="9" borderId="16" xfId="0" applyNumberFormat="1" applyFont="1" applyFill="1" applyBorder="1">
      <alignment vertical="center"/>
    </xf>
    <xf numFmtId="210" fontId="27" fillId="9" borderId="16" xfId="1" applyNumberFormat="1" applyFont="1" applyFill="1" applyBorder="1">
      <alignment vertical="center"/>
    </xf>
    <xf numFmtId="210" fontId="27" fillId="9" borderId="16" xfId="0" applyNumberFormat="1" applyFont="1" applyFill="1" applyBorder="1" applyAlignment="1">
      <alignment vertical="center"/>
    </xf>
    <xf numFmtId="210" fontId="27" fillId="9" borderId="16" xfId="0" applyNumberFormat="1" applyFont="1" applyFill="1" applyBorder="1" applyAlignment="1">
      <alignment horizontal="center" vertical="center"/>
    </xf>
    <xf numFmtId="179" fontId="27" fillId="0" borderId="16" xfId="0" applyNumberFormat="1" applyFont="1" applyBorder="1">
      <alignment vertical="center"/>
    </xf>
    <xf numFmtId="0" fontId="27" fillId="0" borderId="119" xfId="0" applyFont="1" applyBorder="1">
      <alignment vertical="center"/>
    </xf>
    <xf numFmtId="209" fontId="33" fillId="0" borderId="52" xfId="1" applyNumberFormat="1" applyFont="1" applyBorder="1" applyAlignment="1">
      <alignment horizontal="right" vertical="center"/>
    </xf>
    <xf numFmtId="209" fontId="29" fillId="2" borderId="52" xfId="1" applyNumberFormat="1" applyFont="1" applyFill="1" applyBorder="1" applyAlignment="1">
      <alignment horizontal="right" vertical="center"/>
    </xf>
    <xf numFmtId="0" fontId="46" fillId="0" borderId="0" xfId="5" applyFont="1" applyAlignment="1">
      <alignment horizontal="center" vertical="center"/>
    </xf>
    <xf numFmtId="0" fontId="47" fillId="0" borderId="0" xfId="5" applyFont="1" applyBorder="1" applyAlignment="1">
      <alignment horizontal="center" vertical="center"/>
    </xf>
    <xf numFmtId="0" fontId="47" fillId="0" borderId="0" xfId="5" applyFont="1" applyAlignment="1">
      <alignment horizontal="center" vertical="center"/>
    </xf>
    <xf numFmtId="0" fontId="47" fillId="0" borderId="0" xfId="5" applyFont="1" applyAlignment="1">
      <alignment vertical="center"/>
    </xf>
    <xf numFmtId="41" fontId="48" fillId="0" borderId="0" xfId="7" applyFont="1" applyBorder="1" applyAlignment="1">
      <alignment horizontal="center" vertical="center"/>
    </xf>
    <xf numFmtId="41" fontId="49" fillId="0" borderId="0" xfId="6" applyFont="1" applyBorder="1" applyAlignment="1">
      <alignment horizontal="center" vertical="center"/>
    </xf>
    <xf numFmtId="176" fontId="31" fillId="0" borderId="0" xfId="4" applyNumberFormat="1" applyFont="1" applyFill="1" applyBorder="1" applyAlignment="1">
      <alignment horizontal="center" vertical="center"/>
    </xf>
    <xf numFmtId="0" fontId="50" fillId="0" borderId="0" xfId="5" applyFont="1" applyBorder="1" applyAlignment="1">
      <alignment horizontal="center" vertical="center"/>
    </xf>
    <xf numFmtId="177" fontId="50" fillId="0" borderId="0" xfId="5" applyNumberFormat="1" applyFont="1" applyBorder="1" applyAlignment="1">
      <alignment horizontal="center" vertical="center"/>
    </xf>
    <xf numFmtId="0" fontId="50" fillId="0" borderId="0" xfId="5" applyFont="1" applyAlignment="1">
      <alignment horizontal="center" vertical="center"/>
    </xf>
    <xf numFmtId="0" fontId="48" fillId="16" borderId="15" xfId="5" applyFont="1" applyFill="1" applyBorder="1" applyAlignment="1">
      <alignment horizontal="center" vertical="center"/>
    </xf>
    <xf numFmtId="41" fontId="48" fillId="16" borderId="15" xfId="7" applyFont="1" applyFill="1" applyBorder="1" applyAlignment="1">
      <alignment horizontal="center" vertical="center"/>
    </xf>
    <xf numFmtId="0" fontId="48" fillId="16" borderId="85" xfId="5" applyFont="1" applyFill="1" applyBorder="1" applyAlignment="1">
      <alignment horizontal="center" vertical="center"/>
    </xf>
    <xf numFmtId="41" fontId="29" fillId="2" borderId="86" xfId="6" applyFont="1" applyFill="1" applyBorder="1" applyAlignment="1">
      <alignment horizontal="center" vertical="center"/>
    </xf>
    <xf numFmtId="177" fontId="29" fillId="2" borderId="6" xfId="7" applyNumberFormat="1" applyFont="1" applyFill="1" applyBorder="1" applyAlignment="1">
      <alignment horizontal="right" vertical="center"/>
    </xf>
    <xf numFmtId="176" fontId="29" fillId="2" borderId="6" xfId="3" applyNumberFormat="1" applyFont="1" applyFill="1" applyBorder="1" applyAlignment="1">
      <alignment horizontal="center" vertical="center"/>
    </xf>
    <xf numFmtId="176" fontId="29" fillId="2" borderId="87" xfId="3" applyNumberFormat="1" applyFont="1" applyFill="1" applyBorder="1" applyAlignment="1">
      <alignment horizontal="center" vertical="center"/>
    </xf>
    <xf numFmtId="41" fontId="48" fillId="3" borderId="86" xfId="6" applyFont="1" applyFill="1" applyBorder="1" applyAlignment="1" applyProtection="1">
      <alignment horizontal="left" vertical="center" wrapText="1"/>
      <protection locked="0"/>
    </xf>
    <xf numFmtId="177" fontId="48" fillId="3" borderId="6" xfId="7" applyNumberFormat="1" applyFont="1" applyFill="1" applyBorder="1" applyAlignment="1">
      <alignment horizontal="right" vertical="center"/>
    </xf>
    <xf numFmtId="176" fontId="48" fillId="3" borderId="6" xfId="3" applyNumberFormat="1" applyFont="1" applyFill="1" applyBorder="1" applyAlignment="1">
      <alignment horizontal="center" vertical="center"/>
    </xf>
    <xf numFmtId="176" fontId="48" fillId="3" borderId="87" xfId="3" applyNumberFormat="1" applyFont="1" applyFill="1" applyBorder="1" applyAlignment="1">
      <alignment horizontal="center" vertical="center"/>
    </xf>
    <xf numFmtId="41" fontId="48" fillId="0" borderId="86" xfId="6" applyFont="1" applyBorder="1" applyAlignment="1">
      <alignment vertical="center"/>
    </xf>
    <xf numFmtId="177" fontId="48" fillId="0" borderId="6" xfId="7" applyNumberFormat="1" applyFont="1" applyBorder="1" applyAlignment="1">
      <alignment horizontal="right" vertical="center"/>
    </xf>
    <xf numFmtId="176" fontId="48" fillId="0" borderId="6" xfId="4" applyNumberFormat="1" applyFont="1" applyBorder="1" applyAlignment="1">
      <alignment horizontal="center" vertical="center"/>
    </xf>
    <xf numFmtId="176" fontId="48" fillId="0" borderId="87" xfId="3" applyNumberFormat="1" applyFont="1" applyFill="1" applyBorder="1" applyAlignment="1">
      <alignment horizontal="center" vertical="center"/>
    </xf>
    <xf numFmtId="0" fontId="48" fillId="0" borderId="0" xfId="5" applyFont="1" applyBorder="1" applyAlignment="1">
      <alignment horizontal="center" vertical="center"/>
    </xf>
    <xf numFmtId="41" fontId="48" fillId="0" borderId="0" xfId="1" applyFont="1" applyBorder="1" applyAlignment="1">
      <alignment horizontal="center" vertical="center"/>
    </xf>
    <xf numFmtId="0" fontId="48" fillId="0" borderId="0" xfId="5" applyFont="1" applyAlignment="1">
      <alignment horizontal="center" vertical="center"/>
    </xf>
    <xf numFmtId="41" fontId="31" fillId="0" borderId="88" xfId="6" applyFont="1" applyFill="1" applyBorder="1" applyAlignment="1">
      <alignment horizontal="left" vertical="center" indent="1"/>
    </xf>
    <xf numFmtId="177" fontId="31" fillId="0" borderId="9" xfId="7" applyNumberFormat="1" applyFont="1" applyFill="1" applyBorder="1" applyAlignment="1">
      <alignment horizontal="right" vertical="center"/>
    </xf>
    <xf numFmtId="176" fontId="31" fillId="0" borderId="9" xfId="4" applyNumberFormat="1" applyFont="1" applyFill="1" applyBorder="1" applyAlignment="1">
      <alignment horizontal="center" vertical="center"/>
    </xf>
    <xf numFmtId="177" fontId="31" fillId="0" borderId="12" xfId="7" applyNumberFormat="1" applyFont="1" applyFill="1" applyBorder="1" applyAlignment="1">
      <alignment horizontal="right" vertical="center"/>
    </xf>
    <xf numFmtId="176" fontId="31" fillId="0" borderId="89" xfId="4" applyNumberFormat="1" applyFont="1" applyFill="1" applyBorder="1" applyAlignment="1">
      <alignment horizontal="center" vertical="center"/>
    </xf>
    <xf numFmtId="0" fontId="50" fillId="0" borderId="0" xfId="5" applyFont="1" applyBorder="1" applyAlignment="1">
      <alignment horizontal="left" vertical="center"/>
    </xf>
    <xf numFmtId="177" fontId="50" fillId="0" borderId="0" xfId="5" applyNumberFormat="1" applyFont="1" applyFill="1" applyBorder="1" applyAlignment="1">
      <alignment horizontal="right" vertical="center"/>
    </xf>
    <xf numFmtId="3" fontId="50" fillId="0" borderId="0" xfId="5" applyNumberFormat="1" applyFont="1" applyBorder="1" applyAlignment="1">
      <alignment horizontal="right" vertical="center"/>
    </xf>
    <xf numFmtId="49" fontId="50" fillId="0" borderId="0" xfId="5" applyNumberFormat="1" applyFont="1" applyBorder="1" applyAlignment="1">
      <alignment horizontal="center" vertical="center"/>
    </xf>
    <xf numFmtId="3" fontId="50" fillId="0" borderId="0" xfId="5" applyNumberFormat="1" applyFont="1" applyBorder="1" applyAlignment="1">
      <alignment horizontal="center" vertical="center"/>
    </xf>
    <xf numFmtId="41" fontId="50" fillId="0" borderId="0" xfId="1" applyFont="1" applyBorder="1" applyAlignment="1">
      <alignment horizontal="center" vertical="center"/>
    </xf>
    <xf numFmtId="41" fontId="31" fillId="0" borderId="82" xfId="6" applyFont="1" applyFill="1" applyBorder="1" applyAlignment="1">
      <alignment horizontal="left" vertical="center" indent="1"/>
    </xf>
    <xf numFmtId="176" fontId="31" fillId="0" borderId="12" xfId="4" applyNumberFormat="1" applyFont="1" applyFill="1" applyBorder="1" applyAlignment="1">
      <alignment horizontal="center" vertical="center"/>
    </xf>
    <xf numFmtId="176" fontId="31" fillId="0" borderId="83" xfId="4" applyNumberFormat="1" applyFont="1" applyFill="1" applyBorder="1" applyAlignment="1">
      <alignment horizontal="center" vertical="center"/>
    </xf>
    <xf numFmtId="0" fontId="50" fillId="0" borderId="0" xfId="5" applyFont="1" applyFill="1" applyBorder="1" applyAlignment="1">
      <alignment horizontal="left" vertical="center"/>
    </xf>
    <xf numFmtId="177" fontId="50" fillId="0" borderId="0" xfId="5" applyNumberFormat="1" applyFont="1" applyBorder="1" applyAlignment="1">
      <alignment horizontal="right" vertical="center"/>
    </xf>
    <xf numFmtId="176" fontId="50" fillId="0" borderId="83" xfId="4" applyNumberFormat="1" applyFont="1" applyFill="1" applyBorder="1" applyAlignment="1">
      <alignment horizontal="center" vertical="center"/>
    </xf>
    <xf numFmtId="0" fontId="50" fillId="5" borderId="0" xfId="5" applyFont="1" applyFill="1" applyBorder="1" applyAlignment="1">
      <alignment horizontal="left" vertical="center"/>
    </xf>
    <xf numFmtId="41" fontId="31" fillId="0" borderId="105" xfId="6" applyFont="1" applyFill="1" applyBorder="1" applyAlignment="1">
      <alignment horizontal="left" vertical="center" indent="1"/>
    </xf>
    <xf numFmtId="177" fontId="31" fillId="0" borderId="4" xfId="7" applyNumberFormat="1" applyFont="1" applyFill="1" applyBorder="1" applyAlignment="1">
      <alignment horizontal="right" vertical="center"/>
    </xf>
    <xf numFmtId="176" fontId="31" fillId="0" borderId="4" xfId="4" applyNumberFormat="1" applyFont="1" applyFill="1" applyBorder="1" applyAlignment="1">
      <alignment horizontal="center" vertical="center"/>
    </xf>
    <xf numFmtId="176" fontId="31" fillId="0" borderId="106" xfId="4" applyNumberFormat="1" applyFont="1" applyFill="1" applyBorder="1" applyAlignment="1">
      <alignment horizontal="center" vertical="center"/>
    </xf>
    <xf numFmtId="41" fontId="28" fillId="0" borderId="86" xfId="6" applyFont="1" applyFill="1" applyBorder="1" applyAlignment="1">
      <alignment vertical="center"/>
    </xf>
    <xf numFmtId="177" fontId="28" fillId="0" borderId="6" xfId="7" applyNumberFormat="1" applyFont="1" applyFill="1" applyBorder="1" applyAlignment="1">
      <alignment horizontal="right" vertical="center"/>
    </xf>
    <xf numFmtId="176" fontId="28" fillId="0" borderId="6" xfId="4" applyNumberFormat="1" applyFont="1" applyFill="1" applyBorder="1" applyAlignment="1">
      <alignment horizontal="center" vertical="center"/>
    </xf>
    <xf numFmtId="176" fontId="28" fillId="0" borderId="87" xfId="4" applyNumberFormat="1" applyFont="1" applyFill="1" applyBorder="1" applyAlignment="1">
      <alignment horizontal="center" vertical="center"/>
    </xf>
    <xf numFmtId="176" fontId="28" fillId="0" borderId="0" xfId="4" applyNumberFormat="1" applyFont="1" applyFill="1" applyBorder="1" applyAlignment="1">
      <alignment horizontal="center" vertical="center"/>
    </xf>
    <xf numFmtId="41" fontId="50" fillId="0" borderId="0" xfId="5" applyNumberFormat="1" applyFont="1" applyBorder="1" applyAlignment="1">
      <alignment horizontal="center" vertical="center"/>
    </xf>
    <xf numFmtId="41" fontId="31" fillId="0" borderId="114" xfId="6" applyFont="1" applyFill="1" applyBorder="1" applyAlignment="1">
      <alignment horizontal="left" vertical="center" indent="1"/>
    </xf>
    <xf numFmtId="177" fontId="31" fillId="0" borderId="20" xfId="7" applyNumberFormat="1" applyFont="1" applyFill="1" applyBorder="1" applyAlignment="1">
      <alignment horizontal="right" vertical="center"/>
    </xf>
    <xf numFmtId="176" fontId="31" fillId="0" borderId="20" xfId="4" applyNumberFormat="1" applyFont="1" applyFill="1" applyBorder="1" applyAlignment="1">
      <alignment horizontal="center" vertical="center"/>
    </xf>
    <xf numFmtId="177" fontId="31" fillId="0" borderId="15" xfId="7" applyNumberFormat="1" applyFont="1" applyFill="1" applyBorder="1" applyAlignment="1">
      <alignment horizontal="right" vertical="center"/>
    </xf>
    <xf numFmtId="176" fontId="31" fillId="0" borderId="117" xfId="4" applyNumberFormat="1" applyFont="1" applyFill="1" applyBorder="1" applyAlignment="1">
      <alignment horizontal="center" vertical="center"/>
    </xf>
    <xf numFmtId="41" fontId="31" fillId="0" borderId="84" xfId="6" applyFont="1" applyFill="1" applyBorder="1" applyAlignment="1">
      <alignment horizontal="left" vertical="center" indent="1"/>
    </xf>
    <xf numFmtId="176" fontId="31" fillId="0" borderId="15" xfId="4" applyNumberFormat="1" applyFont="1" applyFill="1" applyBorder="1" applyAlignment="1">
      <alignment horizontal="center" vertical="center"/>
    </xf>
    <xf numFmtId="176" fontId="31" fillId="0" borderId="85" xfId="4" applyNumberFormat="1" applyFont="1" applyFill="1" applyBorder="1" applyAlignment="1">
      <alignment horizontal="center" vertical="center"/>
    </xf>
    <xf numFmtId="177" fontId="51" fillId="0" borderId="0" xfId="8" applyNumberFormat="1" applyFont="1" applyFill="1"/>
    <xf numFmtId="0" fontId="51" fillId="0" borderId="0" xfId="8" applyFont="1" applyFill="1"/>
    <xf numFmtId="41" fontId="31" fillId="0" borderId="90" xfId="6" applyFont="1" applyFill="1" applyBorder="1" applyAlignment="1">
      <alignment horizontal="left" vertical="center" indent="1"/>
    </xf>
    <xf numFmtId="177" fontId="31" fillId="0" borderId="17" xfId="7" applyNumberFormat="1" applyFont="1" applyFill="1" applyBorder="1" applyAlignment="1">
      <alignment horizontal="right" vertical="center"/>
    </xf>
    <xf numFmtId="176" fontId="31" fillId="0" borderId="22" xfId="4" applyNumberFormat="1" applyFont="1" applyFill="1" applyBorder="1" applyAlignment="1">
      <alignment horizontal="center" vertical="center"/>
    </xf>
    <xf numFmtId="41" fontId="48" fillId="12" borderId="86" xfId="6" applyFont="1" applyFill="1" applyBorder="1" applyAlignment="1">
      <alignment horizontal="left" vertical="center"/>
    </xf>
    <xf numFmtId="177" fontId="48" fillId="12" borderId="6" xfId="7" applyNumberFormat="1" applyFont="1" applyFill="1" applyBorder="1" applyAlignment="1">
      <alignment horizontal="right" vertical="center"/>
    </xf>
    <xf numFmtId="176" fontId="48" fillId="12" borderId="6" xfId="3" applyNumberFormat="1" applyFont="1" applyFill="1" applyBorder="1" applyAlignment="1">
      <alignment horizontal="center" vertical="center"/>
    </xf>
    <xf numFmtId="176" fontId="48" fillId="12" borderId="87" xfId="3" applyNumberFormat="1" applyFont="1" applyFill="1" applyBorder="1" applyAlignment="1">
      <alignment horizontal="center" vertical="center"/>
    </xf>
    <xf numFmtId="176" fontId="48" fillId="0" borderId="0" xfId="4" applyNumberFormat="1" applyFont="1" applyFill="1" applyBorder="1" applyAlignment="1">
      <alignment horizontal="center" vertical="center"/>
    </xf>
    <xf numFmtId="176" fontId="50" fillId="0" borderId="0" xfId="4" applyNumberFormat="1" applyFont="1" applyFill="1" applyBorder="1" applyAlignment="1">
      <alignment horizontal="center" vertical="center"/>
    </xf>
    <xf numFmtId="41" fontId="50" fillId="0" borderId="95" xfId="6" applyFont="1" applyFill="1" applyBorder="1" applyAlignment="1">
      <alignment horizontal="left" vertical="center" indent="1"/>
    </xf>
    <xf numFmtId="177" fontId="50" fillId="0" borderId="2" xfId="7" applyNumberFormat="1" applyFont="1" applyFill="1" applyBorder="1" applyAlignment="1">
      <alignment horizontal="right" vertical="center"/>
    </xf>
    <xf numFmtId="176" fontId="50" fillId="0" borderId="2" xfId="4" applyNumberFormat="1" applyFont="1" applyFill="1" applyBorder="1" applyAlignment="1">
      <alignment horizontal="center" vertical="center"/>
    </xf>
    <xf numFmtId="176" fontId="50" fillId="0" borderId="96" xfId="4" applyNumberFormat="1" applyFont="1" applyFill="1" applyBorder="1" applyAlignment="1">
      <alignment horizontal="center" vertical="center"/>
    </xf>
    <xf numFmtId="177" fontId="50" fillId="0" borderId="9" xfId="7" applyNumberFormat="1" applyFont="1" applyFill="1" applyBorder="1" applyAlignment="1">
      <alignment horizontal="right" vertical="center"/>
    </xf>
    <xf numFmtId="176" fontId="50" fillId="0" borderId="9" xfId="4" applyNumberFormat="1" applyFont="1" applyFill="1" applyBorder="1" applyAlignment="1">
      <alignment horizontal="center" vertical="center"/>
    </xf>
    <xf numFmtId="41" fontId="50" fillId="0" borderId="88" xfId="6" applyFont="1" applyFill="1" applyBorder="1" applyAlignment="1">
      <alignment horizontal="left" vertical="center" indent="1"/>
    </xf>
    <xf numFmtId="176" fontId="50" fillId="0" borderId="89" xfId="4" applyNumberFormat="1" applyFont="1" applyFill="1" applyBorder="1" applyAlignment="1">
      <alignment horizontal="center" vertical="center"/>
    </xf>
    <xf numFmtId="41" fontId="50" fillId="0" borderId="84" xfId="6" applyFont="1" applyFill="1" applyBorder="1" applyAlignment="1">
      <alignment horizontal="left" vertical="center" indent="1"/>
    </xf>
    <xf numFmtId="177" fontId="50" fillId="0" borderId="15" xfId="7" applyNumberFormat="1" applyFont="1" applyFill="1" applyBorder="1" applyAlignment="1">
      <alignment horizontal="right" vertical="center"/>
    </xf>
    <xf numFmtId="176" fontId="50" fillId="0" borderId="15" xfId="4" applyNumberFormat="1" applyFont="1" applyFill="1" applyBorder="1" applyAlignment="1">
      <alignment horizontal="center" vertical="center"/>
    </xf>
    <xf numFmtId="176" fontId="50" fillId="0" borderId="20" xfId="4" applyNumberFormat="1" applyFont="1" applyFill="1" applyBorder="1" applyAlignment="1">
      <alignment horizontal="center" vertical="center"/>
    </xf>
    <xf numFmtId="176" fontId="50" fillId="0" borderId="85" xfId="4" applyNumberFormat="1" applyFont="1" applyFill="1" applyBorder="1" applyAlignment="1">
      <alignment horizontal="center" vertical="center"/>
    </xf>
    <xf numFmtId="41" fontId="50" fillId="0" borderId="82" xfId="6" applyFont="1" applyFill="1" applyBorder="1" applyAlignment="1">
      <alignment horizontal="left" vertical="center" indent="1"/>
    </xf>
    <xf numFmtId="177" fontId="50" fillId="0" borderId="12" xfId="7" applyNumberFormat="1" applyFont="1" applyFill="1" applyBorder="1" applyAlignment="1">
      <alignment horizontal="right" vertical="center"/>
    </xf>
    <xf numFmtId="176" fontId="50" fillId="0" borderId="12" xfId="4" applyNumberFormat="1" applyFont="1" applyFill="1" applyBorder="1" applyAlignment="1">
      <alignment horizontal="center" vertical="center"/>
    </xf>
    <xf numFmtId="41" fontId="48" fillId="0" borderId="86" xfId="6" applyFont="1" applyFill="1" applyBorder="1" applyAlignment="1">
      <alignment vertical="center"/>
    </xf>
    <xf numFmtId="177" fontId="48" fillId="0" borderId="6" xfId="7" applyNumberFormat="1" applyFont="1" applyFill="1" applyBorder="1" applyAlignment="1">
      <alignment horizontal="right" vertical="center"/>
    </xf>
    <xf numFmtId="176" fontId="48" fillId="0" borderId="6" xfId="4" applyNumberFormat="1" applyFont="1" applyFill="1" applyBorder="1" applyAlignment="1">
      <alignment horizontal="center" vertical="center"/>
    </xf>
    <xf numFmtId="176" fontId="48" fillId="0" borderId="87" xfId="4" applyNumberFormat="1" applyFont="1" applyFill="1" applyBorder="1" applyAlignment="1">
      <alignment horizontal="center" vertical="center"/>
    </xf>
    <xf numFmtId="41" fontId="50" fillId="0" borderId="90" xfId="6" applyFont="1" applyFill="1" applyBorder="1" applyAlignment="1">
      <alignment horizontal="left" vertical="center" indent="1"/>
    </xf>
    <xf numFmtId="177" fontId="50" fillId="0" borderId="22" xfId="7" applyNumberFormat="1" applyFont="1" applyFill="1" applyBorder="1" applyAlignment="1">
      <alignment horizontal="right" vertical="center"/>
    </xf>
    <xf numFmtId="177" fontId="50" fillId="0" borderId="4" xfId="7" applyNumberFormat="1" applyFont="1" applyFill="1" applyBorder="1" applyAlignment="1">
      <alignment horizontal="right" vertical="center"/>
    </xf>
    <xf numFmtId="176" fontId="50" fillId="0" borderId="4" xfId="4" applyNumberFormat="1" applyFont="1" applyFill="1" applyBorder="1" applyAlignment="1">
      <alignment horizontal="center" vertical="center"/>
    </xf>
    <xf numFmtId="176" fontId="50" fillId="0" borderId="22" xfId="4" applyNumberFormat="1" applyFont="1" applyFill="1" applyBorder="1" applyAlignment="1">
      <alignment horizontal="center" vertical="center"/>
    </xf>
    <xf numFmtId="41" fontId="50" fillId="0" borderId="97" xfId="6" applyFont="1" applyFill="1" applyBorder="1" applyAlignment="1">
      <alignment horizontal="left" vertical="center" indent="1"/>
    </xf>
    <xf numFmtId="177" fontId="50" fillId="0" borderId="101" xfId="7" applyNumberFormat="1" applyFont="1" applyFill="1" applyBorder="1" applyAlignment="1">
      <alignment horizontal="right" vertical="center"/>
    </xf>
    <xf numFmtId="176" fontId="50" fillId="0" borderId="101" xfId="4" applyNumberFormat="1" applyFont="1" applyFill="1" applyBorder="1" applyAlignment="1">
      <alignment horizontal="center" vertical="center"/>
    </xf>
    <xf numFmtId="176" fontId="50" fillId="0" borderId="104" xfId="4" applyNumberFormat="1" applyFont="1" applyFill="1" applyBorder="1" applyAlignment="1">
      <alignment horizontal="center" vertical="center"/>
    </xf>
    <xf numFmtId="176" fontId="50" fillId="0" borderId="102" xfId="4" applyNumberFormat="1" applyFont="1" applyFill="1" applyBorder="1" applyAlignment="1">
      <alignment horizontal="center" vertical="center"/>
    </xf>
    <xf numFmtId="0" fontId="51" fillId="0" borderId="0" xfId="8" applyFont="1" applyFill="1" applyAlignment="1">
      <alignment horizontal="right"/>
    </xf>
    <xf numFmtId="176" fontId="51" fillId="0" borderId="0" xfId="8" applyNumberFormat="1" applyFont="1" applyFill="1" applyAlignment="1">
      <alignment horizontal="right"/>
    </xf>
    <xf numFmtId="176" fontId="51" fillId="0" borderId="0" xfId="8" applyNumberFormat="1" applyFont="1" applyFill="1"/>
    <xf numFmtId="0" fontId="52" fillId="0" borderId="0" xfId="9" applyFont="1" applyFill="1" applyAlignment="1" applyProtection="1">
      <alignment horizontal="right"/>
    </xf>
    <xf numFmtId="0" fontId="51" fillId="0" borderId="0" xfId="8" applyFont="1"/>
    <xf numFmtId="0" fontId="51" fillId="0" borderId="0" xfId="8" applyFont="1" applyAlignment="1">
      <alignment horizontal="right"/>
    </xf>
    <xf numFmtId="176" fontId="51" fillId="0" borderId="0" xfId="8" applyNumberFormat="1" applyFont="1" applyAlignment="1">
      <alignment horizontal="right"/>
    </xf>
    <xf numFmtId="41" fontId="31" fillId="0" borderId="92" xfId="6" applyFont="1" applyFill="1" applyBorder="1" applyAlignment="1">
      <alignment horizontal="left" vertical="center" indent="1"/>
    </xf>
    <xf numFmtId="176" fontId="31" fillId="0" borderId="17" xfId="4" applyNumberFormat="1" applyFont="1" applyFill="1" applyBorder="1" applyAlignment="1">
      <alignment horizontal="center" vertical="center"/>
    </xf>
    <xf numFmtId="176" fontId="31" fillId="0" borderId="125" xfId="4" applyNumberFormat="1" applyFont="1" applyFill="1" applyBorder="1" applyAlignment="1">
      <alignment horizontal="center" vertical="center"/>
    </xf>
    <xf numFmtId="41" fontId="31" fillId="10" borderId="88" xfId="6" applyFont="1" applyFill="1" applyBorder="1" applyAlignment="1">
      <alignment horizontal="left" vertical="center" indent="1"/>
    </xf>
    <xf numFmtId="177" fontId="31" fillId="10" borderId="9" xfId="7" applyNumberFormat="1" applyFont="1" applyFill="1" applyBorder="1" applyAlignment="1">
      <alignment horizontal="right" vertical="center"/>
    </xf>
    <xf numFmtId="41" fontId="31" fillId="10" borderId="82" xfId="6" applyFont="1" applyFill="1" applyBorder="1" applyAlignment="1">
      <alignment horizontal="left" vertical="center" indent="1"/>
    </xf>
    <xf numFmtId="177" fontId="31" fillId="10" borderId="12" xfId="7" applyNumberFormat="1" applyFont="1" applyFill="1" applyBorder="1" applyAlignment="1">
      <alignment horizontal="right" vertical="center"/>
    </xf>
    <xf numFmtId="41" fontId="31" fillId="0" borderId="97" xfId="6" applyFont="1" applyFill="1" applyBorder="1" applyAlignment="1">
      <alignment horizontal="left" vertical="center" indent="1"/>
    </xf>
    <xf numFmtId="177" fontId="31" fillId="0" borderId="101" xfId="7" applyNumberFormat="1" applyFont="1" applyFill="1" applyBorder="1" applyAlignment="1">
      <alignment horizontal="right" vertical="center"/>
    </xf>
    <xf numFmtId="176" fontId="31" fillId="0" borderId="101" xfId="4" applyNumberFormat="1" applyFont="1" applyFill="1" applyBorder="1" applyAlignment="1">
      <alignment horizontal="center" vertical="center"/>
    </xf>
    <xf numFmtId="176" fontId="31" fillId="0" borderId="104" xfId="4" applyNumberFormat="1" applyFont="1" applyFill="1" applyBorder="1" applyAlignment="1">
      <alignment horizontal="center" vertical="center"/>
    </xf>
    <xf numFmtId="176" fontId="31" fillId="0" borderId="102" xfId="4" applyNumberFormat="1" applyFont="1" applyFill="1" applyBorder="1" applyAlignment="1">
      <alignment horizontal="center" vertical="center"/>
    </xf>
    <xf numFmtId="0" fontId="47" fillId="0" borderId="0" xfId="5" applyFont="1" applyBorder="1" applyAlignment="1">
      <alignment horizontal="left" vertical="center"/>
    </xf>
    <xf numFmtId="41" fontId="47" fillId="0" borderId="0" xfId="7" applyFont="1" applyAlignment="1">
      <alignment horizontal="center" vertical="center"/>
    </xf>
    <xf numFmtId="41" fontId="48" fillId="0" borderId="0" xfId="7" applyFont="1" applyBorder="1" applyAlignment="1">
      <alignment horizontal="right" vertical="center"/>
    </xf>
    <xf numFmtId="0" fontId="48" fillId="0" borderId="0" xfId="5" applyFont="1" applyFill="1" applyBorder="1" applyAlignment="1">
      <alignment horizontal="center" vertical="center"/>
    </xf>
    <xf numFmtId="177" fontId="50" fillId="0" borderId="0" xfId="5" applyNumberFormat="1" applyFont="1" applyBorder="1" applyAlignment="1">
      <alignment horizontal="left" vertical="center"/>
    </xf>
    <xf numFmtId="176" fontId="48" fillId="0" borderId="87" xfId="4" applyNumberFormat="1" applyFont="1" applyBorder="1" applyAlignment="1">
      <alignment horizontal="center" vertical="center"/>
    </xf>
    <xf numFmtId="0" fontId="48" fillId="0" borderId="0" xfId="5" applyFont="1" applyBorder="1" applyAlignment="1">
      <alignment horizontal="left" vertical="center"/>
    </xf>
    <xf numFmtId="177" fontId="50" fillId="5" borderId="0" xfId="5" applyNumberFormat="1" applyFont="1" applyFill="1" applyBorder="1" applyAlignment="1">
      <alignment horizontal="center" vertical="center"/>
    </xf>
    <xf numFmtId="177" fontId="50" fillId="0" borderId="0" xfId="5" applyNumberFormat="1" applyFont="1" applyFill="1" applyBorder="1" applyAlignment="1">
      <alignment horizontal="center" vertical="center"/>
    </xf>
    <xf numFmtId="41" fontId="28" fillId="10" borderId="86" xfId="6" applyFont="1" applyFill="1" applyBorder="1" applyAlignment="1">
      <alignment vertical="center"/>
    </xf>
    <xf numFmtId="176" fontId="28" fillId="0" borderId="6" xfId="3" applyNumberFormat="1" applyFont="1" applyFill="1" applyBorder="1" applyAlignment="1">
      <alignment horizontal="center" vertical="center"/>
    </xf>
    <xf numFmtId="177" fontId="31" fillId="0" borderId="12" xfId="1" applyNumberFormat="1" applyFont="1" applyFill="1" applyBorder="1" applyAlignment="1">
      <alignment horizontal="right" vertical="center"/>
    </xf>
    <xf numFmtId="177" fontId="31" fillId="0" borderId="15" xfId="1" applyNumberFormat="1" applyFont="1" applyFill="1" applyBorder="1" applyAlignment="1">
      <alignment horizontal="right" vertical="center"/>
    </xf>
    <xf numFmtId="177" fontId="31" fillId="0" borderId="9" xfId="1" applyNumberFormat="1" applyFont="1" applyFill="1" applyBorder="1" applyAlignment="1">
      <alignment horizontal="right" vertical="center"/>
    </xf>
    <xf numFmtId="177" fontId="31" fillId="0" borderId="22" xfId="7" applyNumberFormat="1" applyFont="1" applyFill="1" applyBorder="1" applyAlignment="1">
      <alignment horizontal="right" vertical="center"/>
    </xf>
    <xf numFmtId="176" fontId="31" fillId="0" borderId="91" xfId="4" applyNumberFormat="1" applyFont="1" applyFill="1" applyBorder="1" applyAlignment="1">
      <alignment horizontal="center" vertical="center"/>
    </xf>
    <xf numFmtId="41" fontId="28" fillId="0" borderId="92" xfId="6" applyFont="1" applyFill="1" applyBorder="1" applyAlignment="1">
      <alignment vertical="center"/>
    </xf>
    <xf numFmtId="177" fontId="28" fillId="0" borderId="17" xfId="7" applyNumberFormat="1" applyFont="1" applyFill="1" applyBorder="1" applyAlignment="1">
      <alignment horizontal="right" vertical="center"/>
    </xf>
    <xf numFmtId="176" fontId="28" fillId="0" borderId="17" xfId="4" applyNumberFormat="1" applyFont="1" applyFill="1" applyBorder="1" applyAlignment="1">
      <alignment horizontal="center" vertical="center"/>
    </xf>
    <xf numFmtId="176" fontId="28" fillId="0" borderId="17" xfId="3" applyNumberFormat="1" applyFont="1" applyFill="1" applyBorder="1" applyAlignment="1">
      <alignment horizontal="center" vertical="center"/>
    </xf>
    <xf numFmtId="41" fontId="31" fillId="0" borderId="86" xfId="6" applyFont="1" applyFill="1" applyBorder="1" applyAlignment="1">
      <alignment horizontal="left" vertical="center" indent="1"/>
    </xf>
    <xf numFmtId="177" fontId="31" fillId="0" borderId="6" xfId="7" applyNumberFormat="1" applyFont="1" applyFill="1" applyBorder="1" applyAlignment="1">
      <alignment horizontal="right" vertical="center"/>
    </xf>
    <xf numFmtId="176" fontId="31" fillId="0" borderId="6" xfId="4" applyNumberFormat="1" applyFont="1" applyFill="1" applyBorder="1" applyAlignment="1">
      <alignment horizontal="center" vertical="center"/>
    </xf>
    <xf numFmtId="176" fontId="31" fillId="0" borderId="87" xfId="4" applyNumberFormat="1" applyFont="1" applyFill="1" applyBorder="1" applyAlignment="1">
      <alignment horizontal="center" vertical="center"/>
    </xf>
    <xf numFmtId="41" fontId="48" fillId="12" borderId="114" xfId="6" applyFont="1" applyFill="1" applyBorder="1" applyAlignment="1">
      <alignment horizontal="left" vertical="center"/>
    </xf>
    <xf numFmtId="177" fontId="48" fillId="12" borderId="20" xfId="7" applyNumberFormat="1" applyFont="1" applyFill="1" applyBorder="1" applyAlignment="1">
      <alignment horizontal="right" vertical="center"/>
    </xf>
    <xf numFmtId="176" fontId="48" fillId="12" borderId="20" xfId="3" applyNumberFormat="1" applyFont="1" applyFill="1" applyBorder="1" applyAlignment="1">
      <alignment horizontal="center" vertical="center"/>
    </xf>
    <xf numFmtId="176" fontId="48" fillId="12" borderId="117" xfId="3" applyNumberFormat="1" applyFont="1" applyFill="1" applyBorder="1" applyAlignment="1">
      <alignment horizontal="center" vertical="center"/>
    </xf>
    <xf numFmtId="176" fontId="48" fillId="0" borderId="6" xfId="3" applyNumberFormat="1" applyFont="1" applyFill="1" applyBorder="1" applyAlignment="1">
      <alignment horizontal="center" vertical="center"/>
    </xf>
    <xf numFmtId="176" fontId="48" fillId="0" borderId="0" xfId="3" applyNumberFormat="1" applyFont="1" applyFill="1" applyBorder="1" applyAlignment="1">
      <alignment horizontal="center" vertical="center"/>
    </xf>
    <xf numFmtId="41" fontId="50" fillId="0" borderId="114" xfId="6" applyFont="1" applyFill="1" applyBorder="1" applyAlignment="1">
      <alignment horizontal="left" vertical="center" indent="1"/>
    </xf>
    <xf numFmtId="177" fontId="50" fillId="0" borderId="20" xfId="7" applyNumberFormat="1" applyFont="1" applyFill="1" applyBorder="1" applyAlignment="1">
      <alignment horizontal="right" vertical="center"/>
    </xf>
    <xf numFmtId="0" fontId="51" fillId="0" borderId="0" xfId="8" applyFont="1" applyFill="1" applyAlignment="1">
      <alignment horizontal="left"/>
    </xf>
    <xf numFmtId="177" fontId="50" fillId="0" borderId="93" xfId="7" applyNumberFormat="1" applyFont="1" applyFill="1" applyBorder="1" applyAlignment="1">
      <alignment horizontal="right" vertical="center"/>
    </xf>
    <xf numFmtId="176" fontId="50" fillId="0" borderId="93" xfId="4" applyNumberFormat="1" applyFont="1" applyFill="1" applyBorder="1" applyAlignment="1">
      <alignment horizontal="center" vertical="center"/>
    </xf>
    <xf numFmtId="176" fontId="50" fillId="0" borderId="94" xfId="4" applyNumberFormat="1" applyFont="1" applyFill="1" applyBorder="1" applyAlignment="1">
      <alignment horizontal="center" vertical="center"/>
    </xf>
    <xf numFmtId="41" fontId="51" fillId="0" borderId="0" xfId="6" applyFont="1" applyFill="1" applyAlignment="1"/>
    <xf numFmtId="0" fontId="51" fillId="0" borderId="0" xfId="8" applyFont="1" applyFill="1" applyAlignment="1"/>
    <xf numFmtId="0" fontId="51" fillId="0" borderId="0" xfId="8" applyFont="1" applyFill="1" applyBorder="1"/>
    <xf numFmtId="41" fontId="51" fillId="0" borderId="0" xfId="6" applyFont="1" applyAlignment="1"/>
    <xf numFmtId="0" fontId="51" fillId="0" borderId="0" xfId="8" applyFont="1" applyAlignment="1"/>
    <xf numFmtId="0" fontId="51" fillId="0" borderId="0" xfId="8" applyFont="1" applyBorder="1"/>
    <xf numFmtId="0" fontId="51" fillId="0" borderId="0" xfId="8" applyFont="1" applyAlignment="1">
      <alignment horizontal="left"/>
    </xf>
    <xf numFmtId="0" fontId="54" fillId="0" borderId="0" xfId="0" applyFont="1">
      <alignment vertical="center"/>
    </xf>
    <xf numFmtId="41" fontId="54" fillId="0" borderId="0" xfId="1" applyFont="1">
      <alignment vertical="center"/>
    </xf>
    <xf numFmtId="0" fontId="55" fillId="0" borderId="0" xfId="0" applyFont="1" applyAlignment="1">
      <alignment horizontal="center" vertical="center"/>
    </xf>
    <xf numFmtId="0" fontId="55" fillId="0" borderId="0" xfId="0" applyFont="1">
      <alignment vertical="center"/>
    </xf>
    <xf numFmtId="41" fontId="55" fillId="0" borderId="0" xfId="1" applyFont="1">
      <alignment vertical="center"/>
    </xf>
    <xf numFmtId="0" fontId="55" fillId="0" borderId="88" xfId="1" applyNumberFormat="1" applyFont="1" applyFill="1" applyBorder="1" applyAlignment="1">
      <alignment horizontal="distributed" vertical="center" indent="1"/>
    </xf>
    <xf numFmtId="177" fontId="55" fillId="0" borderId="9" xfId="1" applyNumberFormat="1" applyFont="1" applyFill="1" applyBorder="1" applyAlignment="1">
      <alignment horizontal="right" vertical="center"/>
    </xf>
    <xf numFmtId="176" fontId="51" fillId="0" borderId="9" xfId="4" applyNumberFormat="1" applyFont="1" applyFill="1" applyBorder="1" applyAlignment="1">
      <alignment horizontal="center" vertical="center"/>
    </xf>
    <xf numFmtId="176" fontId="51" fillId="0" borderId="89" xfId="4" applyNumberFormat="1" applyFont="1" applyFill="1" applyBorder="1" applyAlignment="1">
      <alignment horizontal="center" vertical="center"/>
    </xf>
    <xf numFmtId="0" fontId="55" fillId="0" borderId="82" xfId="1" applyNumberFormat="1" applyFont="1" applyFill="1" applyBorder="1" applyAlignment="1">
      <alignment horizontal="distributed" vertical="center" indent="1"/>
    </xf>
    <xf numFmtId="177" fontId="55" fillId="0" borderId="12" xfId="1" applyNumberFormat="1" applyFont="1" applyFill="1" applyBorder="1" applyAlignment="1">
      <alignment horizontal="right" vertical="center"/>
    </xf>
    <xf numFmtId="176" fontId="51" fillId="0" borderId="12" xfId="4" applyNumberFormat="1" applyFont="1" applyFill="1" applyBorder="1" applyAlignment="1">
      <alignment horizontal="center" vertical="center"/>
    </xf>
    <xf numFmtId="176" fontId="51" fillId="0" borderId="83" xfId="4" applyNumberFormat="1" applyFont="1" applyFill="1" applyBorder="1" applyAlignment="1">
      <alignment horizontal="center" vertical="center"/>
    </xf>
    <xf numFmtId="0" fontId="55" fillId="0" borderId="97" xfId="1" applyNumberFormat="1" applyFont="1" applyFill="1" applyBorder="1" applyAlignment="1">
      <alignment horizontal="distributed" vertical="center" indent="1"/>
    </xf>
    <xf numFmtId="177" fontId="55" fillId="0" borderId="101" xfId="1" applyNumberFormat="1" applyFont="1" applyFill="1" applyBorder="1" applyAlignment="1">
      <alignment horizontal="right" vertical="center"/>
    </xf>
    <xf numFmtId="176" fontId="51" fillId="0" borderId="101" xfId="4" applyNumberFormat="1" applyFont="1" applyFill="1" applyBorder="1" applyAlignment="1">
      <alignment horizontal="center" vertical="center"/>
    </xf>
    <xf numFmtId="176" fontId="51" fillId="0" borderId="102" xfId="4" applyNumberFormat="1" applyFont="1" applyFill="1" applyBorder="1" applyAlignment="1">
      <alignment horizontal="center" vertical="center"/>
    </xf>
    <xf numFmtId="41" fontId="55" fillId="0" borderId="0" xfId="1" applyFont="1" applyAlignment="1">
      <alignment horizontal="center" vertical="center"/>
    </xf>
    <xf numFmtId="41" fontId="55" fillId="0" borderId="0" xfId="0" applyNumberFormat="1" applyFont="1">
      <alignment vertical="center"/>
    </xf>
    <xf numFmtId="0" fontId="57" fillId="0" borderId="0" xfId="0" applyFont="1">
      <alignment vertical="center"/>
    </xf>
    <xf numFmtId="0" fontId="57" fillId="0" borderId="99" xfId="0" applyFont="1" applyBorder="1">
      <alignment vertical="center"/>
    </xf>
    <xf numFmtId="0" fontId="57" fillId="0" borderId="100" xfId="0" applyFont="1" applyBorder="1">
      <alignment vertical="center"/>
    </xf>
    <xf numFmtId="0" fontId="56" fillId="0" borderId="0" xfId="0" applyFont="1">
      <alignment vertical="center"/>
    </xf>
    <xf numFmtId="0" fontId="57" fillId="0" borderId="0" xfId="0" applyFont="1" applyBorder="1">
      <alignment vertical="center"/>
    </xf>
    <xf numFmtId="0" fontId="55" fillId="0" borderId="0" xfId="0" applyFont="1" applyAlignment="1">
      <alignment horizontal="left" vertical="center"/>
    </xf>
    <xf numFmtId="41" fontId="48" fillId="15" borderId="4" xfId="7" applyFont="1" applyFill="1" applyBorder="1" applyAlignment="1">
      <alignment horizontal="center" vertical="center"/>
    </xf>
    <xf numFmtId="0" fontId="48" fillId="15" borderId="4" xfId="5" applyFont="1" applyFill="1" applyBorder="1" applyAlignment="1">
      <alignment horizontal="center" vertical="center"/>
    </xf>
    <xf numFmtId="0" fontId="48" fillId="15" borderId="106" xfId="5" applyFont="1" applyFill="1" applyBorder="1" applyAlignment="1">
      <alignment horizontal="center" vertical="center"/>
    </xf>
    <xf numFmtId="176" fontId="29" fillId="2" borderId="25" xfId="3" applyNumberFormat="1" applyFont="1" applyFill="1" applyBorder="1" applyAlignment="1">
      <alignment horizontal="center" vertical="center"/>
    </xf>
    <xf numFmtId="41" fontId="29" fillId="2" borderId="5" xfId="6" applyFont="1" applyFill="1" applyBorder="1" applyAlignment="1">
      <alignment horizontal="center" vertical="center"/>
    </xf>
    <xf numFmtId="176" fontId="48" fillId="3" borderId="25" xfId="3" applyNumberFormat="1" applyFont="1" applyFill="1" applyBorder="1" applyAlignment="1">
      <alignment horizontal="center" vertical="center"/>
    </xf>
    <xf numFmtId="41" fontId="48" fillId="3" borderId="5" xfId="6" applyFont="1" applyFill="1" applyBorder="1" applyAlignment="1" applyProtection="1">
      <alignment horizontal="left" vertical="center" wrapText="1"/>
      <protection locked="0"/>
    </xf>
    <xf numFmtId="41" fontId="50" fillId="0" borderId="88" xfId="1" applyFont="1" applyBorder="1" applyAlignment="1">
      <alignment horizontal="left" vertical="center" indent="1"/>
    </xf>
    <xf numFmtId="176" fontId="50" fillId="0" borderId="9" xfId="4" applyNumberFormat="1" applyFont="1" applyBorder="1" applyAlignment="1">
      <alignment horizontal="center" vertical="center"/>
    </xf>
    <xf numFmtId="177" fontId="50" fillId="0" borderId="9" xfId="7" applyNumberFormat="1" applyFont="1" applyBorder="1" applyAlignment="1">
      <alignment horizontal="right" vertical="center"/>
    </xf>
    <xf numFmtId="176" fontId="50" fillId="0" borderId="26" xfId="4" applyNumberFormat="1" applyFont="1" applyBorder="1" applyAlignment="1">
      <alignment horizontal="center" vertical="center"/>
    </xf>
    <xf numFmtId="41" fontId="50" fillId="0" borderId="8" xfId="6" applyFont="1" applyBorder="1" applyAlignment="1">
      <alignment horizontal="left" vertical="center" indent="1"/>
    </xf>
    <xf numFmtId="176" fontId="50" fillId="0" borderId="89" xfId="3" applyNumberFormat="1" applyFont="1" applyFill="1" applyBorder="1" applyAlignment="1">
      <alignment horizontal="center" vertical="center"/>
    </xf>
    <xf numFmtId="41" fontId="31" fillId="0" borderId="82" xfId="1" applyFont="1" applyFill="1" applyBorder="1" applyAlignment="1">
      <alignment horizontal="left" vertical="center" indent="1"/>
    </xf>
    <xf numFmtId="176" fontId="31" fillId="0" borderId="12" xfId="3" applyNumberFormat="1" applyFont="1" applyFill="1" applyBorder="1" applyAlignment="1">
      <alignment horizontal="center" vertical="center"/>
    </xf>
    <xf numFmtId="176" fontId="31" fillId="0" borderId="24" xfId="4" applyNumberFormat="1" applyFont="1" applyFill="1" applyBorder="1" applyAlignment="1">
      <alignment horizontal="center" vertical="center"/>
    </xf>
    <xf numFmtId="41" fontId="31" fillId="0" borderId="11" xfId="6" applyFont="1" applyFill="1" applyBorder="1" applyAlignment="1">
      <alignment horizontal="left" vertical="center" indent="1"/>
    </xf>
    <xf numFmtId="41" fontId="31" fillId="0" borderId="105" xfId="6" applyFont="1" applyFill="1" applyBorder="1" applyAlignment="1">
      <alignment horizontal="left" vertical="center" indent="2"/>
    </xf>
    <xf numFmtId="176" fontId="31" fillId="0" borderId="4" xfId="3" applyNumberFormat="1" applyFont="1" applyFill="1" applyBorder="1" applyAlignment="1">
      <alignment horizontal="center" vertical="center"/>
    </xf>
    <xf numFmtId="176" fontId="31" fillId="0" borderId="27" xfId="4" applyNumberFormat="1" applyFont="1" applyFill="1" applyBorder="1" applyAlignment="1">
      <alignment horizontal="center" vertical="center"/>
    </xf>
    <xf numFmtId="41" fontId="31" fillId="0" borderId="3" xfId="6" applyFont="1" applyFill="1" applyBorder="1" applyAlignment="1">
      <alignment horizontal="left" vertical="center" indent="1"/>
    </xf>
    <xf numFmtId="41" fontId="48" fillId="4" borderId="86" xfId="6" applyFont="1" applyFill="1" applyBorder="1" applyAlignment="1">
      <alignment horizontal="left" vertical="center"/>
    </xf>
    <xf numFmtId="177" fontId="48" fillId="4" borderId="6" xfId="7" applyNumberFormat="1" applyFont="1" applyFill="1" applyBorder="1" applyAlignment="1">
      <alignment horizontal="right" vertical="center"/>
    </xf>
    <xf numFmtId="176" fontId="48" fillId="4" borderId="6" xfId="3" applyNumberFormat="1" applyFont="1" applyFill="1" applyBorder="1" applyAlignment="1">
      <alignment horizontal="center" vertical="center"/>
    </xf>
    <xf numFmtId="176" fontId="48" fillId="4" borderId="25" xfId="3" applyNumberFormat="1" applyFont="1" applyFill="1" applyBorder="1" applyAlignment="1">
      <alignment horizontal="center" vertical="center"/>
    </xf>
    <xf numFmtId="41" fontId="48" fillId="4" borderId="5" xfId="6" applyFont="1" applyFill="1" applyBorder="1" applyAlignment="1">
      <alignment horizontal="left" vertical="center"/>
    </xf>
    <xf numFmtId="176" fontId="48" fillId="4" borderId="87" xfId="3" applyNumberFormat="1" applyFont="1" applyFill="1" applyBorder="1" applyAlignment="1">
      <alignment horizontal="center" vertical="center"/>
    </xf>
    <xf numFmtId="41" fontId="50" fillId="0" borderId="88" xfId="6" applyFont="1" applyBorder="1" applyAlignment="1">
      <alignment horizontal="left" vertical="center" indent="1"/>
    </xf>
    <xf numFmtId="176" fontId="50" fillId="0" borderId="9" xfId="3" applyNumberFormat="1" applyFont="1" applyFill="1" applyBorder="1" applyAlignment="1">
      <alignment horizontal="center" vertical="center"/>
    </xf>
    <xf numFmtId="176" fontId="50" fillId="0" borderId="26" xfId="3" applyNumberFormat="1" applyFont="1" applyFill="1" applyBorder="1" applyAlignment="1">
      <alignment horizontal="center" vertical="center"/>
    </xf>
    <xf numFmtId="176" fontId="50" fillId="0" borderId="12" xfId="3" applyNumberFormat="1" applyFont="1" applyFill="1" applyBorder="1" applyAlignment="1">
      <alignment horizontal="center" vertical="center"/>
    </xf>
    <xf numFmtId="176" fontId="50" fillId="0" borderId="24" xfId="4" applyNumberFormat="1" applyFont="1" applyFill="1" applyBorder="1" applyAlignment="1">
      <alignment horizontal="center" vertical="center"/>
    </xf>
    <xf numFmtId="41" fontId="50" fillId="0" borderId="11" xfId="6" applyFont="1" applyFill="1" applyBorder="1" applyAlignment="1">
      <alignment horizontal="left" vertical="center" indent="1"/>
    </xf>
    <xf numFmtId="176" fontId="50" fillId="0" borderId="101" xfId="3" applyNumberFormat="1" applyFont="1" applyFill="1" applyBorder="1" applyAlignment="1">
      <alignment horizontal="center" vertical="center"/>
    </xf>
    <xf numFmtId="176" fontId="50" fillId="0" borderId="109" xfId="4" applyNumberFormat="1" applyFont="1" applyFill="1" applyBorder="1" applyAlignment="1">
      <alignment horizontal="center" vertical="center"/>
    </xf>
    <xf numFmtId="41" fontId="50" fillId="0" borderId="110" xfId="6" applyFont="1" applyFill="1" applyBorder="1" applyAlignment="1">
      <alignment horizontal="left" vertical="center" indent="1"/>
    </xf>
    <xf numFmtId="0" fontId="45" fillId="0" borderId="0" xfId="10" applyNumberFormat="1" applyFont="1">
      <alignment vertical="center"/>
    </xf>
    <xf numFmtId="0" fontId="36" fillId="0" borderId="0" xfId="10" applyNumberFormat="1" applyFont="1" applyFill="1">
      <alignment vertical="center"/>
    </xf>
    <xf numFmtId="0" fontId="36" fillId="0" borderId="0" xfId="10" applyNumberFormat="1" applyFont="1">
      <alignment vertical="center"/>
    </xf>
    <xf numFmtId="41" fontId="36" fillId="0" borderId="0" xfId="11" applyNumberFormat="1" applyFont="1">
      <alignment vertical="center"/>
    </xf>
    <xf numFmtId="0" fontId="36" fillId="0" borderId="0" xfId="10" applyNumberFormat="1" applyFont="1" applyAlignment="1">
      <alignment horizontal="center" vertical="center"/>
    </xf>
    <xf numFmtId="177" fontId="36" fillId="0" borderId="0" xfId="11" applyNumberFormat="1" applyFont="1" applyAlignment="1">
      <alignment horizontal="right" vertical="center"/>
    </xf>
    <xf numFmtId="41" fontId="36" fillId="0" borderId="0" xfId="11" applyNumberFormat="1" applyFont="1" applyAlignment="1">
      <alignment horizontal="right" vertical="center"/>
    </xf>
    <xf numFmtId="0" fontId="45" fillId="0" borderId="0" xfId="10" applyNumberFormat="1" applyFont="1" applyAlignment="1">
      <alignment horizontal="center" vertical="center"/>
    </xf>
    <xf numFmtId="0" fontId="61" fillId="6" borderId="41" xfId="10" applyNumberFormat="1" applyFont="1" applyFill="1" applyBorder="1">
      <alignment vertical="center"/>
    </xf>
    <xf numFmtId="0" fontId="61" fillId="6" borderId="42" xfId="10" applyNumberFormat="1" applyFont="1" applyFill="1" applyBorder="1">
      <alignment vertical="center"/>
    </xf>
    <xf numFmtId="0" fontId="61" fillId="6" borderId="43" xfId="10" applyNumberFormat="1" applyFont="1" applyFill="1" applyBorder="1">
      <alignment vertical="center"/>
    </xf>
    <xf numFmtId="41" fontId="61" fillId="6" borderId="43" xfId="11" applyNumberFormat="1" applyFont="1" applyFill="1" applyBorder="1">
      <alignment vertical="center"/>
    </xf>
    <xf numFmtId="0" fontId="61" fillId="6" borderId="43" xfId="10" applyNumberFormat="1" applyFont="1" applyFill="1" applyBorder="1" applyAlignment="1">
      <alignment horizontal="center" vertical="center"/>
    </xf>
    <xf numFmtId="177" fontId="61" fillId="6" borderId="44" xfId="11" applyNumberFormat="1" applyFont="1" applyFill="1" applyBorder="1" applyAlignment="1">
      <alignment horizontal="right" vertical="center"/>
    </xf>
    <xf numFmtId="176" fontId="61" fillId="6" borderId="45" xfId="11" applyNumberFormat="1" applyFont="1" applyFill="1" applyBorder="1" applyAlignment="1">
      <alignment horizontal="right" vertical="center"/>
    </xf>
    <xf numFmtId="41" fontId="45" fillId="0" borderId="0" xfId="11" applyNumberFormat="1" applyFont="1">
      <alignment vertical="center"/>
    </xf>
    <xf numFmtId="0" fontId="45" fillId="0" borderId="57" xfId="10" applyNumberFormat="1" applyFont="1" applyBorder="1">
      <alignment vertical="center"/>
    </xf>
    <xf numFmtId="0" fontId="45" fillId="0" borderId="47" xfId="10" applyNumberFormat="1" applyFont="1" applyFill="1" applyBorder="1">
      <alignment vertical="center"/>
    </xf>
    <xf numFmtId="0" fontId="45" fillId="0" borderId="16" xfId="10" applyNumberFormat="1" applyFont="1" applyFill="1" applyBorder="1">
      <alignment vertical="center"/>
    </xf>
    <xf numFmtId="0" fontId="45" fillId="0" borderId="16" xfId="10" applyNumberFormat="1" applyFont="1" applyBorder="1">
      <alignment vertical="center"/>
    </xf>
    <xf numFmtId="41" fontId="45" fillId="0" borderId="16" xfId="11" applyNumberFormat="1" applyFont="1" applyBorder="1">
      <alignment vertical="center"/>
    </xf>
    <xf numFmtId="0" fontId="45" fillId="0" borderId="16" xfId="10" applyNumberFormat="1" applyFont="1" applyBorder="1" applyAlignment="1">
      <alignment horizontal="center" vertical="center"/>
    </xf>
    <xf numFmtId="177" fontId="45" fillId="0" borderId="48" xfId="11" applyNumberFormat="1" applyFont="1" applyBorder="1" applyAlignment="1">
      <alignment horizontal="right" vertical="center"/>
    </xf>
    <xf numFmtId="176" fontId="45" fillId="0" borderId="58" xfId="10" applyNumberFormat="1" applyFont="1" applyBorder="1" applyAlignment="1">
      <alignment horizontal="right" vertical="center"/>
    </xf>
    <xf numFmtId="0" fontId="45" fillId="0" borderId="49" xfId="10" applyNumberFormat="1" applyFont="1" applyFill="1" applyBorder="1">
      <alignment vertical="center"/>
    </xf>
    <xf numFmtId="0" fontId="45" fillId="0" borderId="50" xfId="10" applyNumberFormat="1" applyFont="1" applyFill="1" applyBorder="1">
      <alignment vertical="center"/>
    </xf>
    <xf numFmtId="0" fontId="45" fillId="0" borderId="51" xfId="10" applyNumberFormat="1" applyFont="1" applyFill="1" applyBorder="1">
      <alignment vertical="center"/>
    </xf>
    <xf numFmtId="0" fontId="45" fillId="0" borderId="50" xfId="10" applyNumberFormat="1" applyFont="1" applyBorder="1">
      <alignment vertical="center"/>
    </xf>
    <xf numFmtId="41" fontId="45" fillId="0" borderId="50" xfId="11" applyNumberFormat="1" applyFont="1" applyBorder="1">
      <alignment vertical="center"/>
    </xf>
    <xf numFmtId="0" fontId="45" fillId="0" borderId="50" xfId="10" applyNumberFormat="1" applyFont="1" applyBorder="1" applyAlignment="1">
      <alignment horizontal="center" vertical="center"/>
    </xf>
    <xf numFmtId="177" fontId="45" fillId="0" borderId="52" xfId="11" applyNumberFormat="1" applyFont="1" applyBorder="1" applyAlignment="1">
      <alignment horizontal="right" vertical="center"/>
    </xf>
    <xf numFmtId="176" fontId="45" fillId="0" borderId="59" xfId="10" applyNumberFormat="1" applyFont="1" applyBorder="1" applyAlignment="1">
      <alignment horizontal="right" vertical="center"/>
    </xf>
    <xf numFmtId="0" fontId="45" fillId="0" borderId="0" xfId="10" applyNumberFormat="1" applyFont="1" applyFill="1" applyBorder="1">
      <alignment vertical="center"/>
    </xf>
    <xf numFmtId="0" fontId="36" fillId="0" borderId="57" xfId="10" applyNumberFormat="1" applyFont="1" applyBorder="1">
      <alignment vertical="center"/>
    </xf>
    <xf numFmtId="0" fontId="36" fillId="0" borderId="49" xfId="10" applyNumberFormat="1" applyFont="1" applyFill="1" applyBorder="1">
      <alignment vertical="center"/>
    </xf>
    <xf numFmtId="0" fontId="36" fillId="0" borderId="0" xfId="10" applyNumberFormat="1" applyFont="1" applyFill="1" applyBorder="1">
      <alignment vertical="center"/>
    </xf>
    <xf numFmtId="0" fontId="36" fillId="0" borderId="53" xfId="10" applyNumberFormat="1" applyFont="1" applyFill="1" applyBorder="1">
      <alignment vertical="center"/>
    </xf>
    <xf numFmtId="0" fontId="36" fillId="7" borderId="50" xfId="10" applyNumberFormat="1" applyFont="1" applyFill="1" applyBorder="1">
      <alignment vertical="center"/>
    </xf>
    <xf numFmtId="41" fontId="36" fillId="7" borderId="50" xfId="11" applyNumberFormat="1" applyFont="1" applyFill="1" applyBorder="1">
      <alignment vertical="center"/>
    </xf>
    <xf numFmtId="0" fontId="36" fillId="7" borderId="50" xfId="10" applyNumberFormat="1" applyFont="1" applyFill="1" applyBorder="1" applyAlignment="1">
      <alignment horizontal="center" vertical="center"/>
    </xf>
    <xf numFmtId="176" fontId="36" fillId="7" borderId="59" xfId="12" applyNumberFormat="1" applyFont="1" applyFill="1" applyBorder="1" applyAlignment="1">
      <alignment horizontal="right" vertical="center"/>
    </xf>
    <xf numFmtId="41" fontId="36" fillId="0" borderId="0" xfId="11" applyNumberFormat="1" applyFont="1" applyBorder="1">
      <alignment vertical="center"/>
    </xf>
    <xf numFmtId="0" fontId="36" fillId="0" borderId="0" xfId="10" applyNumberFormat="1" applyFont="1" applyBorder="1" applyAlignment="1">
      <alignment horizontal="center" vertical="center"/>
    </xf>
    <xf numFmtId="178" fontId="36" fillId="0" borderId="0" xfId="10" applyNumberFormat="1" applyFont="1" applyBorder="1">
      <alignment vertical="center"/>
    </xf>
    <xf numFmtId="41" fontId="36" fillId="0" borderId="49" xfId="11" applyNumberFormat="1" applyFont="1" applyBorder="1" applyAlignment="1">
      <alignment horizontal="right" vertical="center"/>
    </xf>
    <xf numFmtId="176" fontId="36" fillId="0" borderId="60" xfId="10" applyNumberFormat="1" applyFont="1" applyBorder="1" applyAlignment="1">
      <alignment horizontal="right" vertical="center"/>
    </xf>
    <xf numFmtId="0" fontId="36" fillId="0" borderId="48" xfId="10" applyNumberFormat="1" applyFont="1" applyFill="1" applyBorder="1">
      <alignment vertical="center"/>
    </xf>
    <xf numFmtId="41" fontId="36" fillId="0" borderId="0" xfId="11" applyNumberFormat="1" applyFont="1" applyBorder="1" applyAlignment="1">
      <alignment vertical="center" wrapText="1"/>
    </xf>
    <xf numFmtId="179" fontId="36" fillId="0" borderId="0" xfId="10" applyNumberFormat="1" applyFont="1" applyBorder="1">
      <alignment vertical="center"/>
    </xf>
    <xf numFmtId="41" fontId="36" fillId="0" borderId="0" xfId="10" applyNumberFormat="1" applyFont="1" applyBorder="1">
      <alignment vertical="center"/>
    </xf>
    <xf numFmtId="177" fontId="45" fillId="0" borderId="0" xfId="10" applyNumberFormat="1" applyFont="1">
      <alignment vertical="center"/>
    </xf>
    <xf numFmtId="0" fontId="37" fillId="0" borderId="0" xfId="10" applyNumberFormat="1" applyFont="1" applyBorder="1">
      <alignment vertical="center"/>
    </xf>
    <xf numFmtId="41" fontId="37" fillId="0" borderId="0" xfId="11" applyNumberFormat="1" applyFont="1" applyBorder="1">
      <alignment vertical="center"/>
    </xf>
    <xf numFmtId="0" fontId="37" fillId="0" borderId="0" xfId="10" applyNumberFormat="1" applyFont="1" applyBorder="1" applyAlignment="1">
      <alignment horizontal="center" vertical="center"/>
    </xf>
    <xf numFmtId="178" fontId="37" fillId="0" borderId="0" xfId="10" applyNumberFormat="1" applyFont="1" applyBorder="1">
      <alignment vertical="center"/>
    </xf>
    <xf numFmtId="177" fontId="36" fillId="0" borderId="0" xfId="10" applyNumberFormat="1" applyFont="1">
      <alignment vertical="center"/>
    </xf>
    <xf numFmtId="41" fontId="45" fillId="0" borderId="0" xfId="10" applyNumberFormat="1" applyFont="1">
      <alignment vertical="center"/>
    </xf>
    <xf numFmtId="0" fontId="62" fillId="0" borderId="0" xfId="10" applyNumberFormat="1" applyFont="1" applyBorder="1">
      <alignment vertical="center"/>
    </xf>
    <xf numFmtId="0" fontId="28" fillId="0" borderId="0" xfId="10" applyNumberFormat="1" applyFont="1" applyBorder="1">
      <alignment vertical="center"/>
    </xf>
    <xf numFmtId="41" fontId="28" fillId="0" borderId="0" xfId="11" applyNumberFormat="1" applyFont="1" applyBorder="1">
      <alignment vertical="center"/>
    </xf>
    <xf numFmtId="0" fontId="28" fillId="0" borderId="0" xfId="10" applyNumberFormat="1" applyFont="1" applyBorder="1" applyAlignment="1">
      <alignment horizontal="center" vertical="center"/>
    </xf>
    <xf numFmtId="178" fontId="28" fillId="0" borderId="0" xfId="10" applyNumberFormat="1" applyFont="1" applyBorder="1">
      <alignment vertical="center"/>
    </xf>
    <xf numFmtId="0" fontId="62" fillId="0" borderId="0" xfId="10" applyNumberFormat="1" applyFont="1" applyBorder="1" applyAlignment="1">
      <alignment horizontal="left" vertical="center" wrapText="1" indent="1"/>
    </xf>
    <xf numFmtId="0" fontId="28" fillId="0" borderId="0" xfId="10" applyNumberFormat="1" applyFont="1" applyBorder="1" applyAlignment="1">
      <alignment horizontal="left" vertical="center" wrapText="1" indent="1"/>
    </xf>
    <xf numFmtId="41" fontId="28" fillId="0" borderId="0" xfId="11" applyNumberFormat="1" applyFont="1" applyBorder="1" applyAlignment="1">
      <alignment vertical="center" wrapText="1"/>
    </xf>
    <xf numFmtId="180" fontId="28" fillId="0" borderId="0" xfId="10" applyNumberFormat="1" applyFont="1" applyBorder="1">
      <alignment vertical="center"/>
    </xf>
    <xf numFmtId="41" fontId="28" fillId="0" borderId="0" xfId="10" applyNumberFormat="1" applyFont="1" applyBorder="1">
      <alignment vertical="center"/>
    </xf>
    <xf numFmtId="41" fontId="36" fillId="0" borderId="0" xfId="10" applyNumberFormat="1" applyFont="1">
      <alignment vertical="center"/>
    </xf>
    <xf numFmtId="0" fontId="36" fillId="0" borderId="16" xfId="10" applyNumberFormat="1" applyFont="1" applyBorder="1" applyAlignment="1">
      <alignment horizontal="left" vertical="center" wrapText="1" indent="1"/>
    </xf>
    <xf numFmtId="41" fontId="36" fillId="0" borderId="16" xfId="11" applyNumberFormat="1" applyFont="1" applyBorder="1" applyAlignment="1">
      <alignment vertical="center" wrapText="1"/>
    </xf>
    <xf numFmtId="180" fontId="36" fillId="0" borderId="0" xfId="10" applyNumberFormat="1" applyFont="1" applyBorder="1">
      <alignment vertical="center"/>
    </xf>
    <xf numFmtId="0" fontId="36" fillId="0" borderId="16" xfId="10" applyNumberFormat="1" applyFont="1" applyBorder="1">
      <alignment vertical="center"/>
    </xf>
    <xf numFmtId="0" fontId="36" fillId="0" borderId="16" xfId="10" applyNumberFormat="1" applyFont="1" applyBorder="1" applyAlignment="1">
      <alignment horizontal="center" vertical="center"/>
    </xf>
    <xf numFmtId="41" fontId="36" fillId="0" borderId="16" xfId="10" applyNumberFormat="1" applyFont="1" applyBorder="1">
      <alignment vertical="center"/>
    </xf>
    <xf numFmtId="41" fontId="36" fillId="0" borderId="48" xfId="11" applyNumberFormat="1" applyFont="1" applyBorder="1" applyAlignment="1">
      <alignment horizontal="right" vertical="center"/>
    </xf>
    <xf numFmtId="176" fontId="36" fillId="0" borderId="58" xfId="10" applyNumberFormat="1" applyFont="1" applyBorder="1" applyAlignment="1">
      <alignment horizontal="right" vertical="center"/>
    </xf>
    <xf numFmtId="0" fontId="36" fillId="0" borderId="56" xfId="10" applyNumberFormat="1" applyFont="1" applyBorder="1">
      <alignment vertical="center"/>
    </xf>
    <xf numFmtId="0" fontId="36" fillId="0" borderId="39" xfId="10" applyNumberFormat="1" applyFont="1" applyFill="1" applyBorder="1">
      <alignment vertical="center"/>
    </xf>
    <xf numFmtId="0" fontId="36" fillId="0" borderId="28" xfId="10" applyNumberFormat="1" applyFont="1" applyFill="1" applyBorder="1">
      <alignment vertical="center"/>
    </xf>
    <xf numFmtId="0" fontId="36" fillId="0" borderId="28" xfId="10" applyNumberFormat="1" applyFont="1" applyBorder="1" applyAlignment="1">
      <alignment horizontal="left" vertical="center" wrapText="1" indent="1"/>
    </xf>
    <xf numFmtId="41" fontId="36" fillId="0" borderId="28" xfId="11" applyNumberFormat="1" applyFont="1" applyBorder="1" applyAlignment="1">
      <alignment vertical="center" wrapText="1"/>
    </xf>
    <xf numFmtId="0" fontId="36" fillId="0" borderId="28" xfId="10" applyNumberFormat="1" applyFont="1" applyBorder="1">
      <alignment vertical="center"/>
    </xf>
    <xf numFmtId="180" fontId="36" fillId="0" borderId="28" xfId="10" applyNumberFormat="1" applyFont="1" applyBorder="1">
      <alignment vertical="center"/>
    </xf>
    <xf numFmtId="0" fontId="36" fillId="0" borderId="28" xfId="10" applyNumberFormat="1" applyFont="1" applyBorder="1" applyAlignment="1">
      <alignment horizontal="center" vertical="center"/>
    </xf>
    <xf numFmtId="41" fontId="36" fillId="0" borderId="28" xfId="10" applyNumberFormat="1" applyFont="1" applyBorder="1">
      <alignment vertical="center"/>
    </xf>
    <xf numFmtId="177" fontId="36" fillId="0" borderId="39" xfId="11" applyNumberFormat="1" applyFont="1" applyBorder="1" applyAlignment="1">
      <alignment horizontal="right" vertical="center"/>
    </xf>
    <xf numFmtId="41" fontId="36" fillId="0" borderId="39" xfId="11" applyNumberFormat="1" applyFont="1" applyBorder="1" applyAlignment="1">
      <alignment horizontal="right" vertical="center"/>
    </xf>
    <xf numFmtId="176" fontId="36" fillId="0" borderId="40" xfId="10" applyNumberFormat="1" applyFont="1" applyBorder="1" applyAlignment="1">
      <alignment horizontal="right" vertical="center"/>
    </xf>
    <xf numFmtId="0" fontId="36" fillId="0" borderId="0" xfId="10" applyNumberFormat="1" applyFont="1" applyAlignment="1">
      <alignment horizontal="right" vertical="center"/>
    </xf>
    <xf numFmtId="3" fontId="36" fillId="0" borderId="0" xfId="10" applyNumberFormat="1" applyFont="1">
      <alignment vertical="center"/>
    </xf>
    <xf numFmtId="41" fontId="63" fillId="0" borderId="0" xfId="11" applyFont="1">
      <alignment vertical="center"/>
    </xf>
    <xf numFmtId="0" fontId="28" fillId="0" borderId="0" xfId="0" applyFont="1">
      <alignment vertical="center"/>
    </xf>
    <xf numFmtId="0" fontId="31" fillId="0" borderId="0" xfId="0" applyFont="1" applyFill="1">
      <alignment vertical="center"/>
    </xf>
    <xf numFmtId="0" fontId="31" fillId="0" borderId="0" xfId="0" applyFont="1">
      <alignment vertical="center"/>
    </xf>
    <xf numFmtId="41" fontId="31" fillId="0" borderId="0" xfId="1" applyFont="1">
      <alignment vertical="center"/>
    </xf>
    <xf numFmtId="0" fontId="31" fillId="0" borderId="0" xfId="0" applyFont="1" applyAlignment="1">
      <alignment horizontal="center" vertical="center"/>
    </xf>
    <xf numFmtId="177" fontId="31" fillId="0" borderId="0" xfId="1" applyNumberFormat="1" applyFont="1" applyAlignment="1">
      <alignment horizontal="right" vertical="center"/>
    </xf>
    <xf numFmtId="41" fontId="31" fillId="0" borderId="0" xfId="1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9" fillId="2" borderId="41" xfId="0" applyFont="1" applyFill="1" applyBorder="1">
      <alignment vertical="center"/>
    </xf>
    <xf numFmtId="0" fontId="29" fillId="2" borderId="42" xfId="0" applyFont="1" applyFill="1" applyBorder="1">
      <alignment vertical="center"/>
    </xf>
    <xf numFmtId="177" fontId="29" fillId="2" borderId="66" xfId="1" applyNumberFormat="1" applyFont="1" applyFill="1" applyBorder="1" applyAlignment="1">
      <alignment horizontal="right" vertical="center"/>
    </xf>
    <xf numFmtId="0" fontId="28" fillId="0" borderId="0" xfId="0" applyFont="1" applyFill="1">
      <alignment vertical="center"/>
    </xf>
    <xf numFmtId="0" fontId="28" fillId="0" borderId="16" xfId="0" applyFont="1" applyBorder="1">
      <alignment vertical="center"/>
    </xf>
    <xf numFmtId="41" fontId="28" fillId="0" borderId="16" xfId="1" applyFont="1" applyBorder="1">
      <alignment vertical="center"/>
    </xf>
    <xf numFmtId="0" fontId="28" fillId="0" borderId="16" xfId="0" applyFont="1" applyBorder="1" applyAlignment="1">
      <alignment horizontal="center" vertical="center"/>
    </xf>
    <xf numFmtId="177" fontId="28" fillId="0" borderId="48" xfId="1" applyNumberFormat="1" applyFont="1" applyBorder="1" applyAlignment="1">
      <alignment horizontal="right" vertical="center"/>
    </xf>
    <xf numFmtId="176" fontId="28" fillId="0" borderId="58" xfId="0" applyNumberFormat="1" applyFont="1" applyBorder="1" applyAlignment="1">
      <alignment horizontal="right" vertical="center"/>
    </xf>
    <xf numFmtId="0" fontId="28" fillId="0" borderId="50" xfId="0" applyFont="1" applyBorder="1">
      <alignment vertical="center"/>
    </xf>
    <xf numFmtId="41" fontId="28" fillId="0" borderId="50" xfId="1" applyFont="1" applyBorder="1">
      <alignment vertical="center"/>
    </xf>
    <xf numFmtId="0" fontId="28" fillId="0" borderId="50" xfId="0" applyFont="1" applyBorder="1" applyAlignment="1">
      <alignment horizontal="center" vertical="center"/>
    </xf>
    <xf numFmtId="177" fontId="28" fillId="0" borderId="52" xfId="1" applyNumberFormat="1" applyFont="1" applyBorder="1" applyAlignment="1">
      <alignment horizontal="right" vertical="center"/>
    </xf>
    <xf numFmtId="176" fontId="28" fillId="0" borderId="59" xfId="0" applyNumberFormat="1" applyFont="1" applyBorder="1" applyAlignment="1">
      <alignment horizontal="right" vertical="center"/>
    </xf>
    <xf numFmtId="193" fontId="31" fillId="0" borderId="0" xfId="0" applyNumberFormat="1" applyFont="1" applyBorder="1">
      <alignment vertical="center"/>
    </xf>
    <xf numFmtId="194" fontId="31" fillId="0" borderId="0" xfId="1" applyNumberFormat="1" applyFont="1" applyBorder="1">
      <alignment vertical="center"/>
    </xf>
    <xf numFmtId="194" fontId="31" fillId="0" borderId="0" xfId="0" applyNumberFormat="1" applyFont="1">
      <alignment vertical="center"/>
    </xf>
    <xf numFmtId="0" fontId="31" fillId="0" borderId="16" xfId="0" applyFont="1" applyBorder="1" applyAlignment="1">
      <alignment horizontal="left" vertical="center" wrapText="1" indent="1"/>
    </xf>
    <xf numFmtId="181" fontId="31" fillId="0" borderId="16" xfId="0" applyNumberFormat="1" applyFont="1" applyBorder="1">
      <alignment vertical="center"/>
    </xf>
    <xf numFmtId="193" fontId="31" fillId="0" borderId="16" xfId="0" applyNumberFormat="1" applyFont="1" applyBorder="1">
      <alignment vertical="center"/>
    </xf>
    <xf numFmtId="41" fontId="31" fillId="0" borderId="16" xfId="1" applyFont="1" applyBorder="1">
      <alignment vertical="center"/>
    </xf>
    <xf numFmtId="41" fontId="31" fillId="0" borderId="0" xfId="0" applyNumberFormat="1" applyFont="1">
      <alignment vertical="center"/>
    </xf>
    <xf numFmtId="177" fontId="31" fillId="0" borderId="0" xfId="0" applyNumberFormat="1" applyFont="1">
      <alignment vertical="center"/>
    </xf>
    <xf numFmtId="0" fontId="31" fillId="0" borderId="50" xfId="0" applyFont="1" applyBorder="1">
      <alignment vertical="center"/>
    </xf>
    <xf numFmtId="41" fontId="31" fillId="0" borderId="50" xfId="1" applyFont="1" applyBorder="1">
      <alignment vertical="center"/>
    </xf>
    <xf numFmtId="0" fontId="31" fillId="0" borderId="50" xfId="0" applyFont="1" applyBorder="1" applyAlignment="1">
      <alignment horizontal="center" vertical="center"/>
    </xf>
    <xf numFmtId="196" fontId="31" fillId="0" borderId="0" xfId="0" applyNumberFormat="1" applyFont="1" applyBorder="1">
      <alignment vertical="center"/>
    </xf>
    <xf numFmtId="191" fontId="31" fillId="0" borderId="0" xfId="0" applyNumberFormat="1" applyFont="1" applyBorder="1">
      <alignment vertical="center"/>
    </xf>
    <xf numFmtId="0" fontId="28" fillId="0" borderId="51" xfId="10" applyNumberFormat="1" applyFont="1" applyFill="1" applyBorder="1">
      <alignment vertical="center"/>
    </xf>
    <xf numFmtId="0" fontId="31" fillId="7" borderId="50" xfId="10" applyNumberFormat="1" applyFont="1" applyFill="1" applyBorder="1">
      <alignment vertical="center"/>
    </xf>
    <xf numFmtId="0" fontId="31" fillId="0" borderId="64" xfId="0" applyFont="1" applyBorder="1">
      <alignment vertical="center"/>
    </xf>
    <xf numFmtId="0" fontId="31" fillId="0" borderId="61" xfId="10" applyNumberFormat="1" applyFont="1" applyBorder="1">
      <alignment vertical="center"/>
    </xf>
    <xf numFmtId="194" fontId="31" fillId="0" borderId="67" xfId="1" applyNumberFormat="1" applyFont="1" applyBorder="1">
      <alignment vertical="center"/>
    </xf>
    <xf numFmtId="177" fontId="31" fillId="0" borderId="61" xfId="1" applyNumberFormat="1" applyFont="1" applyBorder="1" applyAlignment="1">
      <alignment horizontal="right" vertical="center"/>
    </xf>
    <xf numFmtId="0" fontId="31" fillId="0" borderId="46" xfId="0" applyFont="1" applyBorder="1" applyAlignment="1">
      <alignment horizontal="left" vertical="center" wrapText="1" indent="1"/>
    </xf>
    <xf numFmtId="0" fontId="31" fillId="0" borderId="0" xfId="10" applyNumberFormat="1" applyFont="1" applyBorder="1" applyAlignment="1">
      <alignment horizontal="left" vertical="center" wrapText="1" indent="1"/>
    </xf>
    <xf numFmtId="41" fontId="31" fillId="0" borderId="68" xfId="1" applyFont="1" applyBorder="1">
      <alignment vertical="center"/>
    </xf>
    <xf numFmtId="177" fontId="31" fillId="0" borderId="0" xfId="1" applyNumberFormat="1" applyFont="1" applyBorder="1" applyAlignment="1">
      <alignment horizontal="right" vertical="center"/>
    </xf>
    <xf numFmtId="0" fontId="31" fillId="0" borderId="47" xfId="0" applyFont="1" applyBorder="1" applyAlignment="1">
      <alignment horizontal="left" vertical="center" wrapText="1" indent="1"/>
    </xf>
    <xf numFmtId="0" fontId="31" fillId="0" borderId="16" xfId="10" applyNumberFormat="1" applyFont="1" applyBorder="1" applyAlignment="1">
      <alignment horizontal="left" vertical="center" wrapText="1" indent="1"/>
    </xf>
    <xf numFmtId="180" fontId="31" fillId="0" borderId="16" xfId="0" applyNumberFormat="1" applyFont="1" applyBorder="1">
      <alignment vertical="center"/>
    </xf>
    <xf numFmtId="41" fontId="31" fillId="0" borderId="69" xfId="1" applyFont="1" applyBorder="1">
      <alignment vertical="center"/>
    </xf>
    <xf numFmtId="177" fontId="31" fillId="0" borderId="16" xfId="1" applyNumberFormat="1" applyFont="1" applyBorder="1" applyAlignment="1">
      <alignment horizontal="right" vertical="center"/>
    </xf>
    <xf numFmtId="0" fontId="31" fillId="0" borderId="46" xfId="0" applyFont="1" applyBorder="1">
      <alignment vertical="center"/>
    </xf>
    <xf numFmtId="0" fontId="31" fillId="0" borderId="0" xfId="10" applyNumberFormat="1" applyFont="1" applyBorder="1">
      <alignment vertical="center"/>
    </xf>
    <xf numFmtId="0" fontId="51" fillId="0" borderId="0" xfId="10" applyNumberFormat="1" applyFont="1" applyBorder="1" applyAlignment="1">
      <alignment horizontal="left" vertical="center" wrapText="1" indent="1"/>
    </xf>
    <xf numFmtId="0" fontId="28" fillId="0" borderId="61" xfId="0" applyFont="1" applyBorder="1">
      <alignment vertical="center"/>
    </xf>
    <xf numFmtId="41" fontId="28" fillId="0" borderId="61" xfId="1" applyFont="1" applyBorder="1">
      <alignment vertical="center"/>
    </xf>
    <xf numFmtId="0" fontId="28" fillId="0" borderId="61" xfId="0" applyFont="1" applyBorder="1" applyAlignment="1">
      <alignment horizontal="center" vertical="center"/>
    </xf>
    <xf numFmtId="194" fontId="28" fillId="0" borderId="61" xfId="1" applyNumberFormat="1" applyFont="1" applyBorder="1">
      <alignment vertical="center"/>
    </xf>
    <xf numFmtId="0" fontId="28" fillId="0" borderId="16" xfId="0" applyFont="1" applyBorder="1" applyAlignment="1">
      <alignment horizontal="left" vertical="center" wrapText="1" indent="1"/>
    </xf>
    <xf numFmtId="41" fontId="28" fillId="0" borderId="16" xfId="1" applyFont="1" applyBorder="1" applyAlignment="1">
      <alignment vertical="center" shrinkToFit="1"/>
    </xf>
    <xf numFmtId="180" fontId="28" fillId="0" borderId="16" xfId="0" applyNumberFormat="1" applyFont="1" applyBorder="1">
      <alignment vertical="center"/>
    </xf>
    <xf numFmtId="182" fontId="28" fillId="0" borderId="16" xfId="0" applyNumberFormat="1" applyFont="1" applyBorder="1">
      <alignment vertical="center"/>
    </xf>
    <xf numFmtId="0" fontId="28" fillId="0" borderId="68" xfId="0" applyFont="1" applyFill="1" applyBorder="1">
      <alignment vertical="center"/>
    </xf>
    <xf numFmtId="0" fontId="31" fillId="0" borderId="28" xfId="0" applyFont="1" applyBorder="1" applyAlignment="1">
      <alignment horizontal="left" vertical="center" wrapText="1" indent="1"/>
    </xf>
    <xf numFmtId="41" fontId="31" fillId="0" borderId="28" xfId="1" applyFont="1" applyBorder="1" applyAlignment="1">
      <alignment vertical="center" wrapText="1"/>
    </xf>
    <xf numFmtId="0" fontId="31" fillId="0" borderId="28" xfId="0" applyFont="1" applyBorder="1">
      <alignment vertical="center"/>
    </xf>
    <xf numFmtId="191" fontId="31" fillId="0" borderId="28" xfId="0" applyNumberFormat="1" applyFont="1" applyBorder="1">
      <alignment vertical="center"/>
    </xf>
    <xf numFmtId="182" fontId="31" fillId="0" borderId="28" xfId="0" applyNumberFormat="1" applyFont="1" applyBorder="1">
      <alignment vertical="center"/>
    </xf>
    <xf numFmtId="0" fontId="31" fillId="0" borderId="28" xfId="0" applyFont="1" applyBorder="1" applyAlignment="1">
      <alignment horizontal="center" vertical="center"/>
    </xf>
    <xf numFmtId="41" fontId="31" fillId="0" borderId="28" xfId="1" applyFont="1" applyBorder="1">
      <alignment vertical="center"/>
    </xf>
    <xf numFmtId="177" fontId="31" fillId="0" borderId="39" xfId="1" applyNumberFormat="1" applyFont="1" applyBorder="1" applyAlignment="1">
      <alignment horizontal="right" vertical="center"/>
    </xf>
    <xf numFmtId="41" fontId="31" fillId="0" borderId="39" xfId="1" applyFont="1" applyBorder="1" applyAlignment="1">
      <alignment horizontal="right" vertical="center"/>
    </xf>
    <xf numFmtId="0" fontId="31" fillId="0" borderId="40" xfId="0" applyFont="1" applyBorder="1" applyAlignment="1">
      <alignment horizontal="right" vertical="center"/>
    </xf>
    <xf numFmtId="0" fontId="31" fillId="0" borderId="0" xfId="0" applyFont="1" applyAlignment="1">
      <alignment horizontal="right" vertical="center"/>
    </xf>
    <xf numFmtId="177" fontId="33" fillId="0" borderId="0" xfId="0" applyNumberFormat="1" applyFont="1">
      <alignment vertical="center"/>
    </xf>
    <xf numFmtId="41" fontId="33" fillId="0" borderId="16" xfId="1" applyFont="1" applyFill="1" applyBorder="1">
      <alignment vertical="center"/>
    </xf>
    <xf numFmtId="0" fontId="33" fillId="0" borderId="16" xfId="0" applyFont="1" applyFill="1" applyBorder="1" applyAlignment="1">
      <alignment horizontal="center" vertical="center"/>
    </xf>
    <xf numFmtId="177" fontId="33" fillId="0" borderId="48" xfId="1" applyNumberFormat="1" applyFont="1" applyFill="1" applyBorder="1" applyAlignment="1">
      <alignment horizontal="right" vertical="center"/>
    </xf>
    <xf numFmtId="176" fontId="33" fillId="0" borderId="58" xfId="0" applyNumberFormat="1" applyFont="1" applyFill="1" applyBorder="1" applyAlignment="1">
      <alignment horizontal="right" vertical="center"/>
    </xf>
    <xf numFmtId="41" fontId="33" fillId="0" borderId="50" xfId="1" applyFont="1" applyFill="1" applyBorder="1">
      <alignment vertical="center"/>
    </xf>
    <xf numFmtId="177" fontId="33" fillId="0" borderId="52" xfId="1" applyNumberFormat="1" applyFont="1" applyFill="1" applyBorder="1" applyAlignment="1">
      <alignment horizontal="right" vertical="center"/>
    </xf>
    <xf numFmtId="176" fontId="33" fillId="0" borderId="59" xfId="0" applyNumberFormat="1" applyFont="1" applyFill="1" applyBorder="1" applyAlignment="1">
      <alignment horizontal="right" vertical="center"/>
    </xf>
    <xf numFmtId="41" fontId="27" fillId="0" borderId="49" xfId="1" applyFont="1" applyBorder="1" applyAlignment="1">
      <alignment horizontal="right" vertical="center"/>
    </xf>
    <xf numFmtId="0" fontId="27" fillId="0" borderId="0" xfId="0" applyFont="1" applyBorder="1" applyAlignment="1">
      <alignment horizontal="left" vertical="center" wrapText="1" indent="1"/>
    </xf>
    <xf numFmtId="191" fontId="27" fillId="0" borderId="0" xfId="0" applyNumberFormat="1" applyFont="1" applyBorder="1">
      <alignment vertical="center"/>
    </xf>
    <xf numFmtId="0" fontId="27" fillId="0" borderId="64" xfId="0" applyFont="1" applyBorder="1">
      <alignment vertical="center"/>
    </xf>
    <xf numFmtId="41" fontId="28" fillId="0" borderId="61" xfId="1" applyFont="1" applyBorder="1" applyAlignment="1">
      <alignment horizontal="right" vertical="center"/>
    </xf>
    <xf numFmtId="0" fontId="28" fillId="0" borderId="61" xfId="0" applyFont="1" applyBorder="1" applyAlignment="1">
      <alignment horizontal="right" vertical="center"/>
    </xf>
    <xf numFmtId="178" fontId="28" fillId="0" borderId="61" xfId="0" applyNumberFormat="1" applyFont="1" applyBorder="1" applyAlignment="1">
      <alignment horizontal="right" vertical="center"/>
    </xf>
    <xf numFmtId="41" fontId="27" fillId="0" borderId="53" xfId="1" applyFont="1" applyBorder="1" applyAlignment="1">
      <alignment horizontal="right" vertical="center"/>
    </xf>
    <xf numFmtId="0" fontId="33" fillId="0" borderId="56" xfId="0" applyFont="1" applyBorder="1">
      <alignment vertical="center"/>
    </xf>
    <xf numFmtId="0" fontId="27" fillId="0" borderId="28" xfId="0" applyFont="1" applyFill="1" applyBorder="1">
      <alignment vertical="center"/>
    </xf>
    <xf numFmtId="0" fontId="28" fillId="0" borderId="28" xfId="0" applyFont="1" applyBorder="1" applyAlignment="1">
      <alignment horizontal="left" vertical="center" wrapText="1" indent="1"/>
    </xf>
    <xf numFmtId="41" fontId="28" fillId="0" borderId="28" xfId="1" applyFont="1" applyBorder="1" applyAlignment="1">
      <alignment horizontal="right" vertical="center" wrapText="1"/>
    </xf>
    <xf numFmtId="0" fontId="28" fillId="0" borderId="28" xfId="0" applyFont="1" applyBorder="1" applyAlignment="1">
      <alignment horizontal="center" vertical="center"/>
    </xf>
    <xf numFmtId="180" fontId="28" fillId="0" borderId="28" xfId="0" applyNumberFormat="1" applyFont="1" applyBorder="1" applyAlignment="1">
      <alignment horizontal="right" vertical="center"/>
    </xf>
    <xf numFmtId="0" fontId="28" fillId="0" borderId="28" xfId="0" applyFont="1" applyBorder="1" applyAlignment="1">
      <alignment horizontal="right" vertical="center"/>
    </xf>
    <xf numFmtId="182" fontId="28" fillId="0" borderId="28" xfId="0" applyNumberFormat="1" applyFont="1" applyBorder="1" applyAlignment="1">
      <alignment horizontal="right" vertical="center"/>
    </xf>
    <xf numFmtId="41" fontId="28" fillId="0" borderId="28" xfId="1" applyFont="1" applyBorder="1" applyAlignment="1">
      <alignment horizontal="right" vertical="center"/>
    </xf>
    <xf numFmtId="177" fontId="27" fillId="0" borderId="39" xfId="1" applyNumberFormat="1" applyFont="1" applyBorder="1" applyAlignment="1">
      <alignment horizontal="right" vertical="center"/>
    </xf>
    <xf numFmtId="41" fontId="27" fillId="0" borderId="39" xfId="1" applyFont="1" applyBorder="1" applyAlignment="1">
      <alignment horizontal="right" vertical="center"/>
    </xf>
    <xf numFmtId="0" fontId="27" fillId="0" borderId="40" xfId="0" applyFont="1" applyBorder="1" applyAlignment="1">
      <alignment horizontal="right" vertical="center"/>
    </xf>
    <xf numFmtId="3" fontId="45" fillId="0" borderId="0" xfId="0" applyNumberFormat="1" applyFont="1" applyAlignment="1">
      <alignment horizontal="right" vertical="center"/>
    </xf>
    <xf numFmtId="3" fontId="27" fillId="0" borderId="0" xfId="0" applyNumberFormat="1" applyFont="1">
      <alignment vertical="center"/>
    </xf>
    <xf numFmtId="41" fontId="28" fillId="0" borderId="61" xfId="1" applyFont="1" applyFill="1" applyBorder="1">
      <alignment vertical="center"/>
    </xf>
    <xf numFmtId="0" fontId="28" fillId="0" borderId="61" xfId="0" applyFont="1" applyFill="1" applyBorder="1">
      <alignment vertical="center"/>
    </xf>
    <xf numFmtId="0" fontId="28" fillId="0" borderId="61" xfId="0" applyFont="1" applyFill="1" applyBorder="1" applyAlignment="1">
      <alignment horizontal="center" vertical="center"/>
    </xf>
    <xf numFmtId="178" fontId="28" fillId="0" borderId="61" xfId="0" applyNumberFormat="1" applyFont="1" applyFill="1" applyBorder="1">
      <alignment vertical="center"/>
    </xf>
    <xf numFmtId="0" fontId="27" fillId="0" borderId="16" xfId="0" applyFont="1" applyBorder="1" applyAlignment="1">
      <alignment horizontal="left" vertical="center" wrapText="1" indent="1"/>
    </xf>
    <xf numFmtId="41" fontId="28" fillId="0" borderId="16" xfId="1" applyFont="1" applyFill="1" applyBorder="1" applyAlignment="1">
      <alignment vertical="center" wrapText="1"/>
    </xf>
    <xf numFmtId="182" fontId="28" fillId="0" borderId="16" xfId="0" applyNumberFormat="1" applyFont="1" applyFill="1" applyBorder="1">
      <alignment vertical="center"/>
    </xf>
    <xf numFmtId="41" fontId="28" fillId="0" borderId="0" xfId="1" applyFont="1" applyFill="1" applyBorder="1">
      <alignment vertical="center"/>
    </xf>
    <xf numFmtId="41" fontId="27" fillId="0" borderId="48" xfId="1" applyFont="1" applyBorder="1" applyAlignment="1">
      <alignment horizontal="right" vertical="center"/>
    </xf>
    <xf numFmtId="0" fontId="33" fillId="0" borderId="68" xfId="0" applyFont="1" applyFill="1" applyBorder="1">
      <alignment vertical="center"/>
    </xf>
    <xf numFmtId="0" fontId="27" fillId="0" borderId="68" xfId="0" applyFont="1" applyFill="1" applyBorder="1">
      <alignment vertical="center"/>
    </xf>
    <xf numFmtId="41" fontId="27" fillId="0" borderId="28" xfId="1" applyFont="1" applyBorder="1">
      <alignment vertical="center"/>
    </xf>
    <xf numFmtId="178" fontId="27" fillId="0" borderId="0" xfId="0" applyNumberFormat="1" applyFont="1">
      <alignment vertical="center"/>
    </xf>
    <xf numFmtId="178" fontId="27" fillId="0" borderId="0" xfId="1" applyNumberFormat="1" applyFont="1" applyBorder="1">
      <alignment vertical="center"/>
    </xf>
    <xf numFmtId="9" fontId="27" fillId="0" borderId="0" xfId="0" applyNumberFormat="1" applyFont="1" applyBorder="1">
      <alignment vertical="center"/>
    </xf>
    <xf numFmtId="41" fontId="33" fillId="0" borderId="0" xfId="0" applyNumberFormat="1" applyFont="1">
      <alignment vertical="center"/>
    </xf>
    <xf numFmtId="0" fontId="33" fillId="0" borderId="118" xfId="0" applyFont="1" applyBorder="1">
      <alignment vertical="center"/>
    </xf>
    <xf numFmtId="0" fontId="33" fillId="0" borderId="119" xfId="0" applyFont="1" applyBorder="1">
      <alignment vertical="center"/>
    </xf>
    <xf numFmtId="0" fontId="33" fillId="0" borderId="61" xfId="0" applyFont="1" applyFill="1" applyBorder="1">
      <alignment vertical="center"/>
    </xf>
    <xf numFmtId="178" fontId="28" fillId="0" borderId="61" xfId="0" applyNumberFormat="1" applyFont="1" applyBorder="1">
      <alignment vertical="center"/>
    </xf>
    <xf numFmtId="41" fontId="28" fillId="0" borderId="16" xfId="1" applyFont="1" applyBorder="1" applyAlignment="1">
      <alignment vertical="center" wrapText="1"/>
    </xf>
    <xf numFmtId="180" fontId="28" fillId="0" borderId="0" xfId="0" applyNumberFormat="1" applyFont="1" applyBorder="1">
      <alignment vertical="center"/>
    </xf>
    <xf numFmtId="41" fontId="28" fillId="0" borderId="16" xfId="0" applyNumberFormat="1" applyFont="1" applyBorder="1">
      <alignment vertical="center"/>
    </xf>
    <xf numFmtId="176" fontId="29" fillId="2" borderId="73" xfId="0" applyNumberFormat="1" applyFont="1" applyFill="1" applyBorder="1" applyAlignment="1">
      <alignment horizontal="right" vertical="center"/>
    </xf>
    <xf numFmtId="177" fontId="28" fillId="0" borderId="0" xfId="0" quotePrefix="1" applyNumberFormat="1" applyFont="1" applyFill="1">
      <alignment vertical="center"/>
    </xf>
    <xf numFmtId="0" fontId="28" fillId="0" borderId="0" xfId="0" applyFont="1" applyFill="1" applyBorder="1" applyAlignment="1">
      <alignment horizontal="center" vertical="center"/>
    </xf>
    <xf numFmtId="178" fontId="28" fillId="0" borderId="0" xfId="0" applyNumberFormat="1" applyFont="1" applyFill="1" applyBorder="1">
      <alignment vertical="center"/>
    </xf>
    <xf numFmtId="177" fontId="28" fillId="0" borderId="53" xfId="1" applyNumberFormat="1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left" vertical="center" wrapText="1" indent="1"/>
    </xf>
    <xf numFmtId="41" fontId="28" fillId="0" borderId="0" xfId="1" applyFont="1" applyFill="1" applyBorder="1" applyAlignment="1">
      <alignment vertical="center" wrapText="1"/>
    </xf>
    <xf numFmtId="180" fontId="28" fillId="0" borderId="0" xfId="0" applyNumberFormat="1" applyFont="1" applyFill="1" applyBorder="1">
      <alignment vertical="center"/>
    </xf>
    <xf numFmtId="182" fontId="28" fillId="0" borderId="0" xfId="0" applyNumberFormat="1" applyFont="1" applyFill="1" applyBorder="1">
      <alignment vertical="center"/>
    </xf>
    <xf numFmtId="41" fontId="28" fillId="0" borderId="0" xfId="0" applyNumberFormat="1" applyFont="1" applyFill="1" applyBorder="1">
      <alignment vertical="center"/>
    </xf>
    <xf numFmtId="177" fontId="31" fillId="0" borderId="48" xfId="1" applyNumberFormat="1" applyFont="1" applyFill="1" applyBorder="1" applyAlignment="1">
      <alignment horizontal="right" vertical="center"/>
    </xf>
    <xf numFmtId="0" fontId="31" fillId="0" borderId="28" xfId="0" applyNumberFormat="1" applyFont="1" applyBorder="1">
      <alignment vertical="center"/>
    </xf>
    <xf numFmtId="0" fontId="37" fillId="0" borderId="0" xfId="0" applyFont="1" applyBorder="1">
      <alignment vertical="center"/>
    </xf>
    <xf numFmtId="0" fontId="37" fillId="0" borderId="0" xfId="0" applyFont="1" applyBorder="1" applyAlignment="1">
      <alignment horizontal="left" vertical="center" wrapText="1" indent="1"/>
    </xf>
    <xf numFmtId="195" fontId="31" fillId="0" borderId="0" xfId="0" applyNumberFormat="1" applyFont="1" applyBorder="1">
      <alignment vertical="center"/>
    </xf>
    <xf numFmtId="3" fontId="31" fillId="0" borderId="0" xfId="1" applyNumberFormat="1" applyFont="1" applyBorder="1">
      <alignment vertical="center"/>
    </xf>
    <xf numFmtId="0" fontId="27" fillId="0" borderId="50" xfId="0" applyFont="1" applyBorder="1">
      <alignment vertical="center"/>
    </xf>
    <xf numFmtId="41" fontId="27" fillId="0" borderId="50" xfId="1" applyFont="1" applyBorder="1">
      <alignment vertical="center"/>
    </xf>
    <xf numFmtId="0" fontId="27" fillId="0" borderId="50" xfId="0" applyFont="1" applyBorder="1" applyAlignment="1">
      <alignment horizontal="center" vertical="center"/>
    </xf>
    <xf numFmtId="194" fontId="27" fillId="0" borderId="0" xfId="1" applyNumberFormat="1" applyFont="1" applyBorder="1">
      <alignment vertical="center"/>
    </xf>
    <xf numFmtId="194" fontId="27" fillId="0" borderId="0" xfId="0" applyNumberFormat="1" applyFont="1">
      <alignment vertical="center"/>
    </xf>
    <xf numFmtId="196" fontId="27" fillId="0" borderId="16" xfId="0" applyNumberFormat="1" applyFont="1" applyBorder="1">
      <alignment vertical="center"/>
    </xf>
    <xf numFmtId="185" fontId="27" fillId="0" borderId="16" xfId="0" applyNumberFormat="1" applyFont="1" applyBorder="1">
      <alignment vertical="center"/>
    </xf>
    <xf numFmtId="0" fontId="37" fillId="0" borderId="64" xfId="0" applyFont="1" applyBorder="1">
      <alignment vertical="center"/>
    </xf>
    <xf numFmtId="0" fontId="37" fillId="0" borderId="61" xfId="10" applyNumberFormat="1" applyFont="1" applyBorder="1">
      <alignment vertical="center"/>
    </xf>
    <xf numFmtId="41" fontId="37" fillId="0" borderId="61" xfId="1" applyFont="1" applyBorder="1">
      <alignment vertical="center"/>
    </xf>
    <xf numFmtId="0" fontId="37" fillId="0" borderId="61" xfId="0" applyFont="1" applyBorder="1">
      <alignment vertical="center"/>
    </xf>
    <xf numFmtId="0" fontId="37" fillId="0" borderId="61" xfId="0" applyFont="1" applyBorder="1" applyAlignment="1">
      <alignment horizontal="center" vertical="center"/>
    </xf>
    <xf numFmtId="194" fontId="37" fillId="0" borderId="67" xfId="1" applyNumberFormat="1" applyFont="1" applyBorder="1">
      <alignment vertical="center"/>
    </xf>
    <xf numFmtId="177" fontId="27" fillId="0" borderId="61" xfId="1" applyNumberFormat="1" applyFont="1" applyBorder="1" applyAlignment="1">
      <alignment horizontal="right" vertical="center"/>
    </xf>
    <xf numFmtId="0" fontId="37" fillId="0" borderId="46" xfId="0" applyFont="1" applyBorder="1" applyAlignment="1">
      <alignment horizontal="left" vertical="center" wrapText="1" indent="1"/>
    </xf>
    <xf numFmtId="0" fontId="37" fillId="0" borderId="0" xfId="10" applyNumberFormat="1" applyFont="1" applyBorder="1" applyAlignment="1">
      <alignment horizontal="left" vertical="center" wrapText="1" indent="1"/>
    </xf>
    <xf numFmtId="41" fontId="37" fillId="0" borderId="0" xfId="1" applyFont="1" applyBorder="1" applyAlignment="1">
      <alignment vertical="center" wrapText="1"/>
    </xf>
    <xf numFmtId="180" fontId="37" fillId="0" borderId="0" xfId="0" applyNumberFormat="1" applyFont="1" applyBorder="1">
      <alignment vertical="center"/>
    </xf>
    <xf numFmtId="182" fontId="37" fillId="0" borderId="0" xfId="0" applyNumberFormat="1" applyFont="1" applyBorder="1">
      <alignment vertical="center"/>
    </xf>
    <xf numFmtId="0" fontId="37" fillId="0" borderId="0" xfId="0" applyFont="1" applyBorder="1" applyAlignment="1">
      <alignment horizontal="center" vertical="center"/>
    </xf>
    <xf numFmtId="41" fontId="37" fillId="0" borderId="68" xfId="1" applyFont="1" applyBorder="1">
      <alignment vertical="center"/>
    </xf>
    <xf numFmtId="177" fontId="27" fillId="0" borderId="0" xfId="1" applyNumberFormat="1" applyFont="1" applyBorder="1" applyAlignment="1">
      <alignment horizontal="right" vertical="center"/>
    </xf>
    <xf numFmtId="0" fontId="37" fillId="0" borderId="47" xfId="0" applyFont="1" applyBorder="1" applyAlignment="1">
      <alignment horizontal="left" vertical="center" wrapText="1" indent="1"/>
    </xf>
    <xf numFmtId="0" fontId="37" fillId="0" borderId="16" xfId="10" applyNumberFormat="1" applyFont="1" applyBorder="1" applyAlignment="1">
      <alignment horizontal="left" vertical="center" wrapText="1" indent="1"/>
    </xf>
    <xf numFmtId="41" fontId="37" fillId="0" borderId="16" xfId="1" applyFont="1" applyBorder="1" applyAlignment="1">
      <alignment vertical="center" wrapText="1"/>
    </xf>
    <xf numFmtId="0" fontId="37" fillId="0" borderId="16" xfId="0" applyFont="1" applyBorder="1">
      <alignment vertical="center"/>
    </xf>
    <xf numFmtId="180" fontId="37" fillId="0" borderId="16" xfId="0" applyNumberFormat="1" applyFont="1" applyBorder="1">
      <alignment vertical="center"/>
    </xf>
    <xf numFmtId="182" fontId="37" fillId="0" borderId="16" xfId="0" applyNumberFormat="1" applyFont="1" applyBorder="1">
      <alignment vertical="center"/>
    </xf>
    <xf numFmtId="0" fontId="37" fillId="0" borderId="16" xfId="0" applyFont="1" applyBorder="1" applyAlignment="1">
      <alignment horizontal="center" vertical="center"/>
    </xf>
    <xf numFmtId="41" fontId="37" fillId="0" borderId="69" xfId="1" applyFont="1" applyBorder="1">
      <alignment vertical="center"/>
    </xf>
    <xf numFmtId="177" fontId="27" fillId="0" borderId="16" xfId="1" applyNumberFormat="1" applyFont="1" applyBorder="1" applyAlignment="1">
      <alignment horizontal="right" vertical="center"/>
    </xf>
    <xf numFmtId="194" fontId="37" fillId="0" borderId="61" xfId="1" applyNumberFormat="1" applyFont="1" applyBorder="1">
      <alignment vertical="center"/>
    </xf>
    <xf numFmtId="0" fontId="37" fillId="0" borderId="16" xfId="0" applyFont="1" applyBorder="1" applyAlignment="1">
      <alignment horizontal="left" vertical="center" wrapText="1" indent="1"/>
    </xf>
    <xf numFmtId="0" fontId="65" fillId="0" borderId="0" xfId="10" applyNumberFormat="1" applyFont="1" applyBorder="1" applyAlignment="1">
      <alignment horizontal="left" vertical="center" wrapText="1" indent="1"/>
    </xf>
    <xf numFmtId="41" fontId="37" fillId="0" borderId="16" xfId="1" applyFont="1" applyBorder="1">
      <alignment vertical="center"/>
    </xf>
    <xf numFmtId="0" fontId="33" fillId="0" borderId="61" xfId="0" applyFont="1" applyBorder="1">
      <alignment vertical="center"/>
    </xf>
    <xf numFmtId="41" fontId="33" fillId="0" borderId="61" xfId="1" applyFont="1" applyBorder="1">
      <alignment vertical="center"/>
    </xf>
    <xf numFmtId="0" fontId="33" fillId="0" borderId="61" xfId="0" applyFont="1" applyBorder="1" applyAlignment="1">
      <alignment horizontal="center" vertical="center"/>
    </xf>
    <xf numFmtId="194" fontId="33" fillId="0" borderId="61" xfId="1" applyNumberFormat="1" applyFont="1" applyBorder="1">
      <alignment vertical="center"/>
    </xf>
    <xf numFmtId="0" fontId="27" fillId="0" borderId="71" xfId="0" applyFont="1" applyBorder="1" applyAlignment="1">
      <alignment horizontal="left" vertical="center" wrapText="1" indent="1"/>
    </xf>
    <xf numFmtId="0" fontId="33" fillId="0" borderId="28" xfId="0" applyFont="1" applyBorder="1" applyAlignment="1">
      <alignment horizontal="left" vertical="center" wrapText="1" indent="1"/>
    </xf>
    <xf numFmtId="41" fontId="33" fillId="0" borderId="28" xfId="1" applyFont="1" applyBorder="1" applyAlignment="1">
      <alignment vertical="center" wrapText="1"/>
    </xf>
    <xf numFmtId="0" fontId="33" fillId="0" borderId="28" xfId="0" applyFont="1" applyBorder="1">
      <alignment vertical="center"/>
    </xf>
    <xf numFmtId="180" fontId="33" fillId="0" borderId="28" xfId="0" applyNumberFormat="1" applyFont="1" applyBorder="1">
      <alignment vertical="center"/>
    </xf>
    <xf numFmtId="182" fontId="33" fillId="0" borderId="28" xfId="0" applyNumberFormat="1" applyFont="1" applyBorder="1">
      <alignment vertical="center"/>
    </xf>
    <xf numFmtId="0" fontId="33" fillId="0" borderId="28" xfId="0" applyFont="1" applyBorder="1" applyAlignment="1">
      <alignment horizontal="center" vertical="center"/>
    </xf>
    <xf numFmtId="41" fontId="33" fillId="0" borderId="28" xfId="1" applyFont="1" applyBorder="1">
      <alignment vertical="center"/>
    </xf>
    <xf numFmtId="0" fontId="29" fillId="2" borderId="29" xfId="0" applyFont="1" applyFill="1" applyBorder="1">
      <alignment vertical="center"/>
    </xf>
    <xf numFmtId="0" fontId="29" fillId="2" borderId="74" xfId="0" applyFont="1" applyFill="1" applyBorder="1">
      <alignment vertical="center"/>
    </xf>
    <xf numFmtId="0" fontId="29" fillId="2" borderId="30" xfId="0" applyFont="1" applyFill="1" applyBorder="1">
      <alignment vertical="center"/>
    </xf>
    <xf numFmtId="41" fontId="29" fillId="2" borderId="30" xfId="1" applyFont="1" applyFill="1" applyBorder="1">
      <alignment vertical="center"/>
    </xf>
    <xf numFmtId="0" fontId="29" fillId="2" borderId="30" xfId="0" applyFont="1" applyFill="1" applyBorder="1" applyAlignment="1">
      <alignment horizontal="center" vertical="center"/>
    </xf>
    <xf numFmtId="177" fontId="29" fillId="2" borderId="75" xfId="1" applyNumberFormat="1" applyFont="1" applyFill="1" applyBorder="1" applyAlignment="1">
      <alignment horizontal="right" vertical="center"/>
    </xf>
    <xf numFmtId="176" fontId="29" fillId="2" borderId="98" xfId="1" applyNumberFormat="1" applyFont="1" applyFill="1" applyBorder="1" applyAlignment="1">
      <alignment horizontal="right" vertical="center"/>
    </xf>
    <xf numFmtId="0" fontId="27" fillId="9" borderId="47" xfId="0" applyFont="1" applyFill="1" applyBorder="1">
      <alignment vertical="center"/>
    </xf>
    <xf numFmtId="41" fontId="27" fillId="0" borderId="0" xfId="1" applyFont="1" applyBorder="1" applyAlignment="1">
      <alignment vertical="center"/>
    </xf>
    <xf numFmtId="0" fontId="27" fillId="0" borderId="0" xfId="0" applyFont="1" applyBorder="1" applyAlignment="1">
      <alignment horizontal="left" vertical="center" wrapText="1" indent="2"/>
    </xf>
    <xf numFmtId="193" fontId="27" fillId="0" borderId="0" xfId="0" applyNumberFormat="1" applyFont="1" applyBorder="1">
      <alignment vertical="center"/>
    </xf>
    <xf numFmtId="0" fontId="27" fillId="0" borderId="47" xfId="0" applyFont="1" applyFill="1" applyBorder="1">
      <alignment vertical="center"/>
    </xf>
    <xf numFmtId="0" fontId="27" fillId="0" borderId="16" xfId="0" applyFont="1" applyBorder="1" applyAlignment="1">
      <alignment horizontal="left" vertical="center" wrapText="1" indent="2"/>
    </xf>
    <xf numFmtId="181" fontId="27" fillId="0" borderId="16" xfId="0" applyNumberFormat="1" applyFont="1" applyBorder="1">
      <alignment vertical="center"/>
    </xf>
    <xf numFmtId="193" fontId="27" fillId="0" borderId="16" xfId="0" applyNumberFormat="1" applyFont="1" applyBorder="1">
      <alignment vertical="center"/>
    </xf>
    <xf numFmtId="0" fontId="27" fillId="0" borderId="0" xfId="0" applyFont="1" applyBorder="1" applyAlignment="1">
      <alignment horizontal="center" vertical="center" shrinkToFit="1"/>
    </xf>
    <xf numFmtId="0" fontId="27" fillId="0" borderId="0" xfId="0" applyFont="1" applyBorder="1" applyAlignment="1">
      <alignment horizontal="left" vertical="center" indent="1" shrinkToFit="1"/>
    </xf>
    <xf numFmtId="185" fontId="27" fillId="0" borderId="0" xfId="0" applyNumberFormat="1" applyFont="1" applyBorder="1">
      <alignment vertical="center"/>
    </xf>
    <xf numFmtId="0" fontId="27" fillId="0" borderId="69" xfId="0" applyFont="1" applyFill="1" applyBorder="1">
      <alignment vertical="center"/>
    </xf>
    <xf numFmtId="0" fontId="27" fillId="0" borderId="67" xfId="0" applyFont="1" applyFill="1" applyBorder="1">
      <alignment vertical="center"/>
    </xf>
    <xf numFmtId="178" fontId="33" fillId="0" borderId="61" xfId="0" applyNumberFormat="1" applyFont="1" applyBorder="1">
      <alignment vertical="center"/>
    </xf>
    <xf numFmtId="0" fontId="33" fillId="0" borderId="46" xfId="0" applyFont="1" applyFill="1" applyBorder="1">
      <alignment vertical="center"/>
    </xf>
    <xf numFmtId="0" fontId="33" fillId="0" borderId="0" xfId="0" applyFont="1" applyBorder="1" applyAlignment="1">
      <alignment horizontal="left" vertical="center" wrapText="1" indent="1"/>
    </xf>
    <xf numFmtId="41" fontId="33" fillId="0" borderId="0" xfId="1" applyFont="1" applyBorder="1" applyAlignment="1">
      <alignment vertical="center" wrapText="1"/>
    </xf>
    <xf numFmtId="0" fontId="33" fillId="0" borderId="0" xfId="0" applyFont="1" applyBorder="1">
      <alignment vertical="center"/>
    </xf>
    <xf numFmtId="180" fontId="33" fillId="0" borderId="0" xfId="0" applyNumberFormat="1" applyFont="1" applyBorder="1">
      <alignment vertical="center"/>
    </xf>
    <xf numFmtId="182" fontId="33" fillId="0" borderId="0" xfId="0" applyNumberFormat="1" applyFont="1" applyBorder="1">
      <alignment vertical="center"/>
    </xf>
    <xf numFmtId="0" fontId="33" fillId="0" borderId="0" xfId="0" applyFont="1" applyBorder="1" applyAlignment="1">
      <alignment horizontal="center" vertical="center"/>
    </xf>
    <xf numFmtId="41" fontId="33" fillId="0" borderId="0" xfId="0" applyNumberFormat="1" applyFont="1" applyBorder="1">
      <alignment vertical="center"/>
    </xf>
    <xf numFmtId="0" fontId="27" fillId="0" borderId="76" xfId="0" applyFont="1" applyBorder="1">
      <alignment vertical="center"/>
    </xf>
    <xf numFmtId="0" fontId="27" fillId="0" borderId="71" xfId="0" applyFont="1" applyFill="1" applyBorder="1">
      <alignment vertical="center"/>
    </xf>
    <xf numFmtId="180" fontId="27" fillId="0" borderId="28" xfId="0" applyNumberFormat="1" applyFont="1" applyBorder="1">
      <alignment vertical="center"/>
    </xf>
    <xf numFmtId="176" fontId="27" fillId="0" borderId="60" xfId="0" applyNumberFormat="1" applyFont="1" applyBorder="1" applyAlignment="1">
      <alignment horizontal="right" vertical="center"/>
    </xf>
    <xf numFmtId="204" fontId="27" fillId="0" borderId="0" xfId="0" applyNumberFormat="1" applyFont="1" applyBorder="1">
      <alignment vertical="center"/>
    </xf>
    <xf numFmtId="205" fontId="27" fillId="0" borderId="0" xfId="0" applyNumberFormat="1" applyFont="1" applyBorder="1">
      <alignment vertical="center"/>
    </xf>
    <xf numFmtId="0" fontId="27" fillId="0" borderId="47" xfId="0" applyFont="1" applyBorder="1" applyAlignment="1">
      <alignment horizontal="left" vertical="center" wrapText="1" indent="1"/>
    </xf>
    <xf numFmtId="0" fontId="33" fillId="0" borderId="16" xfId="0" applyFont="1" applyBorder="1" applyAlignment="1">
      <alignment horizontal="left" vertical="center" wrapText="1" indent="1"/>
    </xf>
    <xf numFmtId="0" fontId="27" fillId="0" borderId="46" xfId="0" applyFont="1" applyBorder="1">
      <alignment vertical="center"/>
    </xf>
    <xf numFmtId="41" fontId="27" fillId="0" borderId="68" xfId="0" applyNumberFormat="1" applyFont="1" applyBorder="1">
      <alignment vertical="center"/>
    </xf>
    <xf numFmtId="177" fontId="27" fillId="0" borderId="68" xfId="1" applyNumberFormat="1" applyFont="1" applyBorder="1" applyAlignment="1">
      <alignment horizontal="right" vertical="center"/>
    </xf>
    <xf numFmtId="210" fontId="29" fillId="2" borderId="41" xfId="0" applyNumberFormat="1" applyFont="1" applyFill="1" applyBorder="1">
      <alignment vertical="center"/>
    </xf>
    <xf numFmtId="210" fontId="29" fillId="2" borderId="42" xfId="0" applyNumberFormat="1" applyFont="1" applyFill="1" applyBorder="1">
      <alignment vertical="center"/>
    </xf>
    <xf numFmtId="210" fontId="29" fillId="2" borderId="43" xfId="0" applyNumberFormat="1" applyFont="1" applyFill="1" applyBorder="1">
      <alignment vertical="center"/>
    </xf>
    <xf numFmtId="210" fontId="29" fillId="2" borderId="43" xfId="1" applyNumberFormat="1" applyFont="1" applyFill="1" applyBorder="1">
      <alignment vertical="center"/>
    </xf>
    <xf numFmtId="210" fontId="29" fillId="2" borderId="43" xfId="0" applyNumberFormat="1" applyFont="1" applyFill="1" applyBorder="1" applyAlignment="1">
      <alignment horizontal="center" vertical="center"/>
    </xf>
    <xf numFmtId="0" fontId="33" fillId="0" borderId="54" xfId="0" applyFont="1" applyBorder="1">
      <alignment vertical="center"/>
    </xf>
    <xf numFmtId="0" fontId="33" fillId="0" borderId="74" xfId="0" applyFont="1" applyFill="1" applyBorder="1">
      <alignment vertical="center"/>
    </xf>
    <xf numFmtId="210" fontId="27" fillId="0" borderId="60" xfId="0" applyNumberFormat="1" applyFont="1" applyBorder="1" applyAlignment="1">
      <alignment horizontal="right" vertical="center"/>
    </xf>
    <xf numFmtId="211" fontId="27" fillId="0" borderId="0" xfId="0" applyNumberFormat="1" applyFont="1" applyBorder="1">
      <alignment vertical="center"/>
    </xf>
    <xf numFmtId="199" fontId="31" fillId="9" borderId="52" xfId="1" applyNumberFormat="1" applyFont="1" applyFill="1" applyBorder="1" applyAlignment="1">
      <alignment horizontal="right" vertical="center"/>
    </xf>
    <xf numFmtId="199" fontId="27" fillId="0" borderId="49" xfId="1" applyNumberFormat="1" applyFont="1" applyBorder="1" applyAlignment="1">
      <alignment horizontal="right" vertical="center"/>
    </xf>
    <xf numFmtId="41" fontId="28" fillId="0" borderId="28" xfId="1" applyFont="1" applyBorder="1" applyAlignment="1">
      <alignment vertical="center" wrapText="1"/>
    </xf>
    <xf numFmtId="180" fontId="28" fillId="0" borderId="28" xfId="0" applyNumberFormat="1" applyFont="1" applyBorder="1">
      <alignment vertical="center"/>
    </xf>
    <xf numFmtId="0" fontId="28" fillId="0" borderId="28" xfId="0" applyFont="1" applyBorder="1">
      <alignment vertical="center"/>
    </xf>
    <xf numFmtId="182" fontId="28" fillId="0" borderId="28" xfId="0" applyNumberFormat="1" applyFont="1" applyBorder="1">
      <alignment vertical="center"/>
    </xf>
    <xf numFmtId="41" fontId="28" fillId="0" borderId="28" xfId="0" applyNumberFormat="1" applyFont="1" applyBorder="1">
      <alignment vertical="center"/>
    </xf>
    <xf numFmtId="177" fontId="27" fillId="0" borderId="0" xfId="0" applyNumberFormat="1" applyFont="1" applyAlignment="1">
      <alignment horizontal="right" vertical="center"/>
    </xf>
    <xf numFmtId="210" fontId="27" fillId="10" borderId="0" xfId="0" applyNumberFormat="1" applyFont="1" applyFill="1" applyBorder="1">
      <alignment vertical="center"/>
    </xf>
    <xf numFmtId="210" fontId="27" fillId="10" borderId="0" xfId="1" applyNumberFormat="1" applyFont="1" applyFill="1" applyBorder="1">
      <alignment vertical="center"/>
    </xf>
    <xf numFmtId="210" fontId="27" fillId="10" borderId="0" xfId="0" applyNumberFormat="1" applyFont="1" applyFill="1" applyBorder="1" applyAlignment="1">
      <alignment horizontal="center" vertical="center"/>
    </xf>
    <xf numFmtId="194" fontId="27" fillId="10" borderId="0" xfId="0" applyNumberFormat="1" applyFont="1" applyFill="1" applyBorder="1">
      <alignment vertical="center"/>
    </xf>
    <xf numFmtId="0" fontId="27" fillId="10" borderId="0" xfId="0" applyFont="1" applyFill="1" applyBorder="1" applyAlignment="1">
      <alignment horizontal="left" vertical="center" wrapText="1" indent="1"/>
    </xf>
    <xf numFmtId="41" fontId="27" fillId="10" borderId="0" xfId="1" applyFont="1" applyFill="1" applyBorder="1" applyAlignment="1">
      <alignment vertical="center" wrapText="1"/>
    </xf>
    <xf numFmtId="0" fontId="27" fillId="10" borderId="0" xfId="0" applyFont="1" applyFill="1" applyBorder="1">
      <alignment vertical="center"/>
    </xf>
    <xf numFmtId="182" fontId="27" fillId="10" borderId="0" xfId="0" applyNumberFormat="1" applyFont="1" applyFill="1" applyBorder="1">
      <alignment vertical="center"/>
    </xf>
    <xf numFmtId="185" fontId="27" fillId="10" borderId="0" xfId="0" applyNumberFormat="1" applyFont="1" applyFill="1" applyBorder="1">
      <alignment vertical="center"/>
    </xf>
    <xf numFmtId="0" fontId="27" fillId="10" borderId="0" xfId="0" applyFont="1" applyFill="1" applyBorder="1" applyAlignment="1">
      <alignment horizontal="center" vertical="center"/>
    </xf>
    <xf numFmtId="41" fontId="27" fillId="10" borderId="0" xfId="0" applyNumberFormat="1" applyFont="1" applyFill="1" applyBorder="1">
      <alignment vertical="center"/>
    </xf>
    <xf numFmtId="49" fontId="36" fillId="0" borderId="0" xfId="10" applyNumberFormat="1" applyFont="1" applyFill="1">
      <alignment vertical="center"/>
    </xf>
    <xf numFmtId="0" fontId="36" fillId="0" borderId="0" xfId="10" applyNumberFormat="1" applyFont="1" applyAlignment="1">
      <alignment vertical="center"/>
    </xf>
    <xf numFmtId="0" fontId="61" fillId="6" borderId="56" xfId="10" applyNumberFormat="1" applyFont="1" applyFill="1" applyBorder="1" applyAlignment="1">
      <alignment vertical="center"/>
    </xf>
    <xf numFmtId="0" fontId="61" fillId="6" borderId="28" xfId="10" applyNumberFormat="1" applyFont="1" applyFill="1" applyBorder="1" applyAlignment="1">
      <alignment vertical="center"/>
    </xf>
    <xf numFmtId="49" fontId="61" fillId="6" borderId="28" xfId="10" applyNumberFormat="1" applyFont="1" applyFill="1" applyBorder="1" applyAlignment="1">
      <alignment vertical="center"/>
    </xf>
    <xf numFmtId="0" fontId="61" fillId="6" borderId="43" xfId="10" applyNumberFormat="1" applyFont="1" applyFill="1" applyBorder="1" applyAlignment="1">
      <alignment vertical="center"/>
    </xf>
    <xf numFmtId="49" fontId="45" fillId="0" borderId="16" xfId="10" applyNumberFormat="1" applyFont="1" applyFill="1" applyBorder="1">
      <alignment vertical="center"/>
    </xf>
    <xf numFmtId="0" fontId="45" fillId="0" borderId="16" xfId="10" applyNumberFormat="1" applyFont="1" applyBorder="1" applyAlignment="1">
      <alignment vertical="center"/>
    </xf>
    <xf numFmtId="0" fontId="45" fillId="0" borderId="53" xfId="10" applyNumberFormat="1" applyFont="1" applyFill="1" applyBorder="1">
      <alignment vertical="center"/>
    </xf>
    <xf numFmtId="49" fontId="45" fillId="0" borderId="50" xfId="10" applyNumberFormat="1" applyFont="1" applyFill="1" applyBorder="1">
      <alignment vertical="center"/>
    </xf>
    <xf numFmtId="0" fontId="45" fillId="0" borderId="50" xfId="10" applyNumberFormat="1" applyFont="1" applyBorder="1" applyAlignment="1">
      <alignment vertical="center"/>
    </xf>
    <xf numFmtId="0" fontId="61" fillId="6" borderId="50" xfId="10" applyNumberFormat="1" applyFont="1" applyFill="1" applyBorder="1" applyAlignment="1">
      <alignment vertical="center"/>
    </xf>
    <xf numFmtId="0" fontId="61" fillId="6" borderId="50" xfId="10" applyNumberFormat="1" applyFont="1" applyFill="1" applyBorder="1">
      <alignment vertical="center"/>
    </xf>
    <xf numFmtId="49" fontId="61" fillId="6" borderId="50" xfId="10" applyNumberFormat="1" applyFont="1" applyFill="1" applyBorder="1">
      <alignment vertical="center"/>
    </xf>
    <xf numFmtId="41" fontId="61" fillId="6" borderId="50" xfId="11" applyNumberFormat="1" applyFont="1" applyFill="1" applyBorder="1">
      <alignment vertical="center"/>
    </xf>
    <xf numFmtId="0" fontId="61" fillId="6" borderId="50" xfId="10" applyNumberFormat="1" applyFont="1" applyFill="1" applyBorder="1" applyAlignment="1">
      <alignment horizontal="center" vertical="center"/>
    </xf>
    <xf numFmtId="177" fontId="61" fillId="6" borderId="52" xfId="11" applyNumberFormat="1" applyFont="1" applyFill="1" applyBorder="1" applyAlignment="1">
      <alignment horizontal="right" vertical="center"/>
    </xf>
    <xf numFmtId="176" fontId="61" fillId="6" borderId="59" xfId="10" applyNumberFormat="1" applyFont="1" applyFill="1" applyBorder="1" applyAlignment="1">
      <alignment horizontal="right" vertical="center"/>
    </xf>
    <xf numFmtId="49" fontId="36" fillId="7" borderId="50" xfId="10" applyNumberFormat="1" applyFont="1" applyFill="1" applyBorder="1">
      <alignment vertical="center"/>
    </xf>
    <xf numFmtId="0" fontId="36" fillId="7" borderId="50" xfId="10" applyNumberFormat="1" applyFont="1" applyFill="1" applyBorder="1" applyAlignment="1">
      <alignment vertical="center"/>
    </xf>
    <xf numFmtId="49" fontId="36" fillId="0" borderId="0" xfId="10" applyNumberFormat="1" applyFont="1" applyFill="1" applyBorder="1">
      <alignment vertical="center"/>
    </xf>
    <xf numFmtId="41" fontId="36" fillId="0" borderId="0" xfId="11" applyNumberFormat="1" applyFont="1" applyFill="1" applyBorder="1">
      <alignment vertical="center"/>
    </xf>
    <xf numFmtId="0" fontId="36" fillId="0" borderId="0" xfId="10" applyNumberFormat="1" applyFont="1" applyFill="1" applyBorder="1" applyAlignment="1">
      <alignment vertical="center"/>
    </xf>
    <xf numFmtId="0" fontId="36" fillId="0" borderId="0" xfId="10" applyNumberFormat="1" applyFont="1" applyFill="1" applyBorder="1" applyAlignment="1">
      <alignment horizontal="center" vertical="center"/>
    </xf>
    <xf numFmtId="178" fontId="36" fillId="0" borderId="0" xfId="10" applyNumberFormat="1" applyFont="1" applyFill="1" applyBorder="1">
      <alignment vertical="center"/>
    </xf>
    <xf numFmtId="177" fontId="36" fillId="0" borderId="49" xfId="11" applyNumberFormat="1" applyFont="1" applyFill="1" applyBorder="1" applyAlignment="1">
      <alignment horizontal="right" vertical="center"/>
    </xf>
    <xf numFmtId="176" fontId="36" fillId="0" borderId="60" xfId="12" applyNumberFormat="1" applyFont="1" applyFill="1" applyBorder="1" applyAlignment="1">
      <alignment horizontal="right" vertical="center"/>
    </xf>
    <xf numFmtId="0" fontId="36" fillId="0" borderId="0" xfId="10" applyNumberFormat="1" applyFont="1" applyFill="1" applyBorder="1" applyAlignment="1">
      <alignment horizontal="left" vertical="center" wrapText="1" indent="1"/>
    </xf>
    <xf numFmtId="49" fontId="36" fillId="0" borderId="0" xfId="10" applyNumberFormat="1" applyFont="1" applyFill="1" applyBorder="1" applyAlignment="1">
      <alignment horizontal="left" vertical="center" wrapText="1" indent="1"/>
    </xf>
    <xf numFmtId="41" fontId="36" fillId="0" borderId="0" xfId="13" applyNumberFormat="1" applyFont="1" applyFill="1" applyBorder="1" applyAlignment="1">
      <alignment horizontal="right" vertical="center" shrinkToFit="1"/>
    </xf>
    <xf numFmtId="181" fontId="36" fillId="0" borderId="0" xfId="10" applyNumberFormat="1" applyFont="1" applyBorder="1">
      <alignment vertical="center"/>
    </xf>
    <xf numFmtId="182" fontId="36" fillId="0" borderId="0" xfId="10" applyNumberFormat="1" applyFont="1" applyBorder="1">
      <alignment vertical="center"/>
    </xf>
    <xf numFmtId="182" fontId="36" fillId="0" borderId="0" xfId="10" applyNumberFormat="1" applyFont="1" applyBorder="1" applyAlignment="1">
      <alignment vertical="center"/>
    </xf>
    <xf numFmtId="0" fontId="36" fillId="0" borderId="60" xfId="10" applyNumberFormat="1" applyFont="1" applyBorder="1" applyAlignment="1">
      <alignment horizontal="right" vertical="center"/>
    </xf>
    <xf numFmtId="0" fontId="36" fillId="0" borderId="0" xfId="10" applyNumberFormat="1" applyFont="1" applyFill="1" applyBorder="1" applyAlignment="1">
      <alignment horizontal="left" vertical="center" indent="1"/>
    </xf>
    <xf numFmtId="49" fontId="36" fillId="0" borderId="0" xfId="10" applyNumberFormat="1" applyFont="1" applyFill="1" applyBorder="1" applyAlignment="1">
      <alignment horizontal="left" vertical="center" indent="1"/>
    </xf>
    <xf numFmtId="41" fontId="36" fillId="8" borderId="0" xfId="11" applyNumberFormat="1" applyFont="1" applyFill="1" applyBorder="1">
      <alignment vertical="center"/>
    </xf>
    <xf numFmtId="0" fontId="36" fillId="8" borderId="0" xfId="10" applyNumberFormat="1" applyFont="1" applyFill="1" applyBorder="1">
      <alignment vertical="center"/>
    </xf>
    <xf numFmtId="0" fontId="36" fillId="8" borderId="0" xfId="10" applyNumberFormat="1" applyFont="1" applyFill="1" applyBorder="1" applyAlignment="1">
      <alignment vertical="center"/>
    </xf>
    <xf numFmtId="0" fontId="36" fillId="8" borderId="0" xfId="10" applyNumberFormat="1" applyFont="1" applyFill="1" applyBorder="1" applyAlignment="1">
      <alignment horizontal="center" vertical="center"/>
    </xf>
    <xf numFmtId="178" fontId="36" fillId="8" borderId="0" xfId="10" applyNumberFormat="1" applyFont="1" applyFill="1" applyBorder="1">
      <alignment vertical="center"/>
    </xf>
    <xf numFmtId="177" fontId="36" fillId="8" borderId="49" xfId="11" applyNumberFormat="1" applyFont="1" applyFill="1" applyBorder="1" applyAlignment="1">
      <alignment horizontal="right" vertical="center"/>
    </xf>
    <xf numFmtId="176" fontId="36" fillId="8" borderId="60" xfId="12" applyNumberFormat="1" applyFont="1" applyFill="1" applyBorder="1" applyAlignment="1">
      <alignment horizontal="right" vertical="center"/>
    </xf>
    <xf numFmtId="0" fontId="36" fillId="0" borderId="0" xfId="10" applyNumberFormat="1" applyFont="1" applyBorder="1" applyAlignment="1">
      <alignment vertical="center"/>
    </xf>
    <xf numFmtId="49" fontId="27" fillId="0" borderId="0" xfId="10" applyNumberFormat="1" applyFont="1" applyFill="1" applyBorder="1" applyAlignment="1">
      <alignment horizontal="left" vertical="center" indent="1"/>
    </xf>
    <xf numFmtId="183" fontId="36" fillId="0" borderId="0" xfId="11" applyNumberFormat="1" applyFont="1" applyBorder="1" applyAlignment="1">
      <alignment vertical="center" wrapText="1"/>
    </xf>
    <xf numFmtId="184" fontId="66" fillId="0" borderId="0" xfId="10" applyNumberFormat="1" applyFont="1" applyBorder="1">
      <alignment vertical="center"/>
    </xf>
    <xf numFmtId="41" fontId="36" fillId="0" borderId="0" xfId="11" quotePrefix="1" applyNumberFormat="1" applyFont="1" applyBorder="1">
      <alignment vertical="center"/>
    </xf>
    <xf numFmtId="0" fontId="36" fillId="0" borderId="118" xfId="10" applyNumberFormat="1" applyFont="1" applyBorder="1">
      <alignment vertical="center"/>
    </xf>
    <xf numFmtId="0" fontId="36" fillId="0" borderId="16" xfId="10" applyNumberFormat="1" applyFont="1" applyFill="1" applyBorder="1">
      <alignment vertical="center"/>
    </xf>
    <xf numFmtId="0" fontId="36" fillId="0" borderId="16" xfId="10" applyNumberFormat="1" applyFont="1" applyFill="1" applyBorder="1" applyAlignment="1">
      <alignment horizontal="left" vertical="center" indent="1"/>
    </xf>
    <xf numFmtId="49" fontId="36" fillId="0" borderId="16" xfId="10" applyNumberFormat="1" applyFont="1" applyFill="1" applyBorder="1" applyAlignment="1">
      <alignment horizontal="left" vertical="center" indent="1"/>
    </xf>
    <xf numFmtId="181" fontId="36" fillId="0" borderId="16" xfId="10" applyNumberFormat="1" applyFont="1" applyBorder="1">
      <alignment vertical="center"/>
    </xf>
    <xf numFmtId="182" fontId="36" fillId="0" borderId="16" xfId="10" applyNumberFormat="1" applyFont="1" applyBorder="1">
      <alignment vertical="center"/>
    </xf>
    <xf numFmtId="182" fontId="36" fillId="0" borderId="16" xfId="10" applyNumberFormat="1" applyFont="1" applyBorder="1" applyAlignment="1">
      <alignment vertical="center"/>
    </xf>
    <xf numFmtId="0" fontId="36" fillId="0" borderId="58" xfId="10" applyNumberFormat="1" applyFont="1" applyBorder="1" applyAlignment="1">
      <alignment horizontal="right" vertical="center"/>
    </xf>
    <xf numFmtId="185" fontId="36" fillId="0" borderId="0" xfId="10" applyNumberFormat="1" applyFont="1" applyBorder="1">
      <alignment vertical="center"/>
    </xf>
    <xf numFmtId="41" fontId="27" fillId="0" borderId="0" xfId="11" applyFont="1" applyBorder="1" applyAlignment="1">
      <alignment vertical="center" wrapText="1"/>
    </xf>
    <xf numFmtId="0" fontId="27" fillId="0" borderId="0" xfId="10" applyFont="1" applyBorder="1">
      <alignment vertical="center"/>
    </xf>
    <xf numFmtId="184" fontId="27" fillId="0" borderId="0" xfId="10" applyNumberFormat="1" applyFont="1" applyBorder="1">
      <alignment vertical="center"/>
    </xf>
    <xf numFmtId="182" fontId="27" fillId="0" borderId="0" xfId="10" applyNumberFormat="1" applyFont="1" applyBorder="1">
      <alignment vertical="center"/>
    </xf>
    <xf numFmtId="182" fontId="27" fillId="0" borderId="0" xfId="10" applyNumberFormat="1" applyFont="1" applyBorder="1" applyAlignment="1">
      <alignment vertical="center"/>
    </xf>
    <xf numFmtId="0" fontId="36" fillId="7" borderId="51" xfId="10" applyNumberFormat="1" applyFont="1" applyFill="1" applyBorder="1">
      <alignment vertical="center"/>
    </xf>
    <xf numFmtId="176" fontId="61" fillId="6" borderId="59" xfId="12" applyNumberFormat="1" applyFont="1" applyFill="1" applyBorder="1" applyAlignment="1">
      <alignment horizontal="right" vertical="center"/>
    </xf>
    <xf numFmtId="187" fontId="36" fillId="0" borderId="0" xfId="10" applyNumberFormat="1" applyFont="1" applyFill="1" applyBorder="1" applyAlignment="1">
      <alignment vertical="center" shrinkToFit="1"/>
    </xf>
    <xf numFmtId="187" fontId="36" fillId="0" borderId="0" xfId="10" applyNumberFormat="1" applyFont="1" applyFill="1" applyBorder="1" applyAlignment="1">
      <alignment horizontal="center" vertical="center" shrinkToFit="1"/>
    </xf>
    <xf numFmtId="181" fontId="36" fillId="0" borderId="0" xfId="10" applyNumberFormat="1" applyFont="1" applyFill="1" applyBorder="1" applyAlignment="1">
      <alignment horizontal="center" vertical="center" shrinkToFit="1"/>
    </xf>
    <xf numFmtId="181" fontId="36" fillId="0" borderId="0" xfId="10" applyNumberFormat="1" applyFont="1" applyFill="1" applyBorder="1" applyAlignment="1">
      <alignment vertical="center" shrinkToFit="1"/>
    </xf>
    <xf numFmtId="188" fontId="36" fillId="0" borderId="0" xfId="10" applyNumberFormat="1" applyFont="1" applyBorder="1" applyAlignment="1">
      <alignment vertical="center"/>
    </xf>
    <xf numFmtId="179" fontId="36" fillId="0" borderId="0" xfId="10" applyNumberFormat="1" applyFont="1" applyBorder="1" applyAlignment="1">
      <alignment horizontal="center" vertical="center"/>
    </xf>
    <xf numFmtId="41" fontId="36" fillId="0" borderId="16" xfId="11" applyNumberFormat="1" applyFont="1" applyBorder="1">
      <alignment vertical="center"/>
    </xf>
    <xf numFmtId="0" fontId="36" fillId="7" borderId="16" xfId="10" applyNumberFormat="1" applyFont="1" applyFill="1" applyBorder="1">
      <alignment vertical="center"/>
    </xf>
    <xf numFmtId="49" fontId="36" fillId="7" borderId="16" xfId="10" applyNumberFormat="1" applyFont="1" applyFill="1" applyBorder="1">
      <alignment vertical="center"/>
    </xf>
    <xf numFmtId="41" fontId="36" fillId="7" borderId="16" xfId="11" applyNumberFormat="1" applyFont="1" applyFill="1" applyBorder="1">
      <alignment vertical="center"/>
    </xf>
    <xf numFmtId="0" fontId="36" fillId="7" borderId="16" xfId="10" applyNumberFormat="1" applyFont="1" applyFill="1" applyBorder="1" applyAlignment="1">
      <alignment vertical="center"/>
    </xf>
    <xf numFmtId="0" fontId="36" fillId="7" borderId="16" xfId="10" applyNumberFormat="1" applyFont="1" applyFill="1" applyBorder="1" applyAlignment="1">
      <alignment horizontal="center" vertical="center"/>
    </xf>
    <xf numFmtId="177" fontId="36" fillId="7" borderId="48" xfId="11" applyNumberFormat="1" applyFont="1" applyFill="1" applyBorder="1" applyAlignment="1">
      <alignment horizontal="right" vertical="center"/>
    </xf>
    <xf numFmtId="176" fontId="36" fillId="7" borderId="58" xfId="12" applyNumberFormat="1" applyFont="1" applyFill="1" applyBorder="1" applyAlignment="1">
      <alignment horizontal="right" vertical="center"/>
    </xf>
    <xf numFmtId="179" fontId="36" fillId="0" borderId="0" xfId="10" applyNumberFormat="1" applyFont="1" applyBorder="1" applyAlignment="1">
      <alignment horizontal="right" vertical="center"/>
    </xf>
    <xf numFmtId="0" fontId="36" fillId="0" borderId="0" xfId="10" applyNumberFormat="1" applyFont="1" applyBorder="1" applyAlignment="1">
      <alignment horizontal="right" vertical="center"/>
    </xf>
    <xf numFmtId="0" fontId="36" fillId="0" borderId="16" xfId="10" applyNumberFormat="1" applyFont="1" applyFill="1" applyBorder="1" applyAlignment="1">
      <alignment horizontal="left" vertical="center" wrapText="1" indent="1"/>
    </xf>
    <xf numFmtId="49" fontId="36" fillId="0" borderId="16" xfId="10" applyNumberFormat="1" applyFont="1" applyFill="1" applyBorder="1" applyAlignment="1">
      <alignment horizontal="left" vertical="center" wrapText="1" indent="1"/>
    </xf>
    <xf numFmtId="180" fontId="36" fillId="0" borderId="16" xfId="10" applyNumberFormat="1" applyFont="1" applyBorder="1" applyAlignment="1">
      <alignment horizontal="right" vertical="center"/>
    </xf>
    <xf numFmtId="189" fontId="66" fillId="0" borderId="0" xfId="10" applyNumberFormat="1" applyFont="1" applyBorder="1" applyAlignment="1">
      <alignment vertical="center"/>
    </xf>
    <xf numFmtId="41" fontId="36" fillId="0" borderId="0" xfId="11" applyNumberFormat="1" applyFont="1" applyFill="1" applyBorder="1" applyAlignment="1">
      <alignment vertical="center" wrapText="1"/>
    </xf>
    <xf numFmtId="0" fontId="36" fillId="0" borderId="46" xfId="10" applyNumberFormat="1" applyFont="1" applyFill="1" applyBorder="1">
      <alignment vertical="center"/>
    </xf>
    <xf numFmtId="0" fontId="36" fillId="0" borderId="0" xfId="10" applyNumberFormat="1" applyFont="1" applyFill="1" applyBorder="1" applyAlignment="1">
      <alignment horizontal="right" vertical="center"/>
    </xf>
    <xf numFmtId="0" fontId="36" fillId="0" borderId="47" xfId="10" applyNumberFormat="1" applyFont="1" applyFill="1" applyBorder="1" applyAlignment="1">
      <alignment horizontal="left" vertical="center" wrapText="1" indent="1"/>
    </xf>
    <xf numFmtId="41" fontId="36" fillId="0" borderId="16" xfId="11" applyNumberFormat="1" applyFont="1" applyFill="1" applyBorder="1" applyAlignment="1">
      <alignment vertical="center" wrapText="1"/>
    </xf>
    <xf numFmtId="182" fontId="36" fillId="0" borderId="16" xfId="10" applyNumberFormat="1" applyFont="1" applyFill="1" applyBorder="1" applyAlignment="1">
      <alignment vertical="center"/>
    </xf>
    <xf numFmtId="182" fontId="36" fillId="0" borderId="16" xfId="10" applyNumberFormat="1" applyFont="1" applyFill="1" applyBorder="1">
      <alignment vertical="center"/>
    </xf>
    <xf numFmtId="0" fontId="36" fillId="0" borderId="16" xfId="10" applyNumberFormat="1" applyFont="1" applyFill="1" applyBorder="1" applyAlignment="1">
      <alignment horizontal="center" vertical="center"/>
    </xf>
    <xf numFmtId="41" fontId="36" fillId="0" borderId="16" xfId="10" applyNumberFormat="1" applyFont="1" applyFill="1" applyBorder="1">
      <alignment vertical="center"/>
    </xf>
    <xf numFmtId="190" fontId="36" fillId="0" borderId="0" xfId="10" applyNumberFormat="1" applyFont="1" applyBorder="1">
      <alignment vertical="center"/>
    </xf>
    <xf numFmtId="190" fontId="36" fillId="0" borderId="0" xfId="10" applyNumberFormat="1" applyFont="1" applyFill="1" applyBorder="1" applyAlignment="1" applyProtection="1">
      <alignment vertical="center"/>
    </xf>
    <xf numFmtId="3" fontId="36" fillId="0" borderId="0" xfId="10" applyNumberFormat="1" applyFont="1" applyBorder="1">
      <alignment vertical="center"/>
    </xf>
    <xf numFmtId="180" fontId="36" fillId="0" borderId="16" xfId="10" applyNumberFormat="1" applyFont="1" applyBorder="1" applyAlignment="1">
      <alignment vertical="center"/>
    </xf>
    <xf numFmtId="191" fontId="36" fillId="0" borderId="0" xfId="10" applyNumberFormat="1" applyFont="1" applyBorder="1">
      <alignment vertical="center"/>
    </xf>
    <xf numFmtId="179" fontId="36" fillId="0" borderId="16" xfId="10" applyNumberFormat="1" applyFont="1" applyBorder="1">
      <alignment vertical="center"/>
    </xf>
    <xf numFmtId="0" fontId="36" fillId="0" borderId="119" xfId="10" applyNumberFormat="1" applyFont="1" applyBorder="1">
      <alignment vertical="center"/>
    </xf>
    <xf numFmtId="0" fontId="36" fillId="0" borderId="61" xfId="10" applyNumberFormat="1" applyFont="1" applyFill="1" applyBorder="1">
      <alignment vertical="center"/>
    </xf>
    <xf numFmtId="49" fontId="36" fillId="0" borderId="61" xfId="10" applyNumberFormat="1" applyFont="1" applyFill="1" applyBorder="1">
      <alignment vertical="center"/>
    </xf>
    <xf numFmtId="41" fontId="36" fillId="0" borderId="61" xfId="11" applyNumberFormat="1" applyFont="1" applyBorder="1">
      <alignment vertical="center"/>
    </xf>
    <xf numFmtId="0" fontId="36" fillId="0" borderId="61" xfId="10" applyNumberFormat="1" applyFont="1" applyBorder="1">
      <alignment vertical="center"/>
    </xf>
    <xf numFmtId="0" fontId="36" fillId="0" borderId="61" xfId="10" applyNumberFormat="1" applyFont="1" applyBorder="1" applyAlignment="1">
      <alignment vertical="center"/>
    </xf>
    <xf numFmtId="0" fontId="36" fillId="0" borderId="61" xfId="10" applyNumberFormat="1" applyFont="1" applyBorder="1" applyAlignment="1">
      <alignment horizontal="center" vertical="center"/>
    </xf>
    <xf numFmtId="178" fontId="36" fillId="0" borderId="61" xfId="10" applyNumberFormat="1" applyFont="1" applyBorder="1">
      <alignment vertical="center"/>
    </xf>
    <xf numFmtId="41" fontId="36" fillId="0" borderId="53" xfId="11" applyNumberFormat="1" applyFont="1" applyBorder="1" applyAlignment="1">
      <alignment horizontal="right" vertical="center"/>
    </xf>
    <xf numFmtId="0" fontId="36" fillId="0" borderId="62" xfId="10" applyNumberFormat="1" applyFont="1" applyBorder="1" applyAlignment="1">
      <alignment horizontal="right" vertical="center"/>
    </xf>
    <xf numFmtId="192" fontId="36" fillId="0" borderId="0" xfId="10" applyNumberFormat="1" applyFont="1" applyBorder="1">
      <alignment vertical="center"/>
    </xf>
    <xf numFmtId="188" fontId="36" fillId="0" borderId="0" xfId="10" applyNumberFormat="1" applyFont="1" applyBorder="1">
      <alignment vertical="center"/>
    </xf>
    <xf numFmtId="0" fontId="36" fillId="7" borderId="55" xfId="10" applyNumberFormat="1" applyFont="1" applyFill="1" applyBorder="1">
      <alignment vertical="center"/>
    </xf>
    <xf numFmtId="181" fontId="36" fillId="0" borderId="16" xfId="10" applyNumberFormat="1" applyFont="1" applyFill="1" applyBorder="1" applyAlignment="1" applyProtection="1">
      <alignment vertical="center"/>
    </xf>
    <xf numFmtId="0" fontId="36" fillId="0" borderId="63" xfId="10" applyNumberFormat="1" applyFont="1" applyFill="1" applyBorder="1">
      <alignment vertical="center"/>
    </xf>
    <xf numFmtId="0" fontId="36" fillId="0" borderId="64" xfId="10" applyNumberFormat="1" applyFont="1" applyBorder="1">
      <alignment vertical="center"/>
    </xf>
    <xf numFmtId="49" fontId="36" fillId="0" borderId="61" xfId="10" applyNumberFormat="1" applyFont="1" applyBorder="1">
      <alignment vertical="center"/>
    </xf>
    <xf numFmtId="176" fontId="36" fillId="0" borderId="62" xfId="10" applyNumberFormat="1" applyFont="1" applyBorder="1" applyAlignment="1">
      <alignment horizontal="right" vertical="center"/>
    </xf>
    <xf numFmtId="49" fontId="36" fillId="0" borderId="0" xfId="10" applyNumberFormat="1" applyFont="1" applyBorder="1" applyAlignment="1">
      <alignment horizontal="left" vertical="center" wrapText="1" indent="1"/>
    </xf>
    <xf numFmtId="0" fontId="36" fillId="0" borderId="0" xfId="10" applyNumberFormat="1" applyFont="1" applyBorder="1" applyAlignment="1">
      <alignment horizontal="left" vertical="center" indent="1"/>
    </xf>
    <xf numFmtId="178" fontId="36" fillId="0" borderId="0" xfId="10" applyNumberFormat="1" applyFont="1">
      <alignment vertical="center"/>
    </xf>
    <xf numFmtId="49" fontId="36" fillId="0" borderId="0" xfId="10" applyNumberFormat="1" applyFont="1" applyBorder="1">
      <alignment vertical="center"/>
    </xf>
    <xf numFmtId="192" fontId="36" fillId="0" borderId="16" xfId="10" applyNumberFormat="1" applyFont="1" applyBorder="1">
      <alignment vertical="center"/>
    </xf>
    <xf numFmtId="9" fontId="36" fillId="0" borderId="0" xfId="10" applyNumberFormat="1" applyFont="1" applyFill="1" applyBorder="1" applyAlignment="1">
      <alignment vertical="center" shrinkToFit="1"/>
    </xf>
    <xf numFmtId="0" fontId="29" fillId="2" borderId="51" xfId="10" applyNumberFormat="1" applyFont="1" applyFill="1" applyBorder="1">
      <alignment vertical="center"/>
    </xf>
    <xf numFmtId="0" fontId="29" fillId="2" borderId="50" xfId="10" applyNumberFormat="1" applyFont="1" applyFill="1" applyBorder="1">
      <alignment vertical="center"/>
    </xf>
    <xf numFmtId="41" fontId="29" fillId="2" borderId="50" xfId="11" applyNumberFormat="1" applyFont="1" applyFill="1" applyBorder="1">
      <alignment vertical="center"/>
    </xf>
    <xf numFmtId="0" fontId="29" fillId="2" borderId="50" xfId="10" applyNumberFormat="1" applyFont="1" applyFill="1" applyBorder="1" applyAlignment="1">
      <alignment vertical="center"/>
    </xf>
    <xf numFmtId="0" fontId="29" fillId="2" borderId="50" xfId="10" applyNumberFormat="1" applyFont="1" applyFill="1" applyBorder="1" applyAlignment="1">
      <alignment horizontal="center" vertical="center"/>
    </xf>
    <xf numFmtId="177" fontId="29" fillId="2" borderId="52" xfId="11" applyNumberFormat="1" applyFont="1" applyFill="1" applyBorder="1" applyAlignment="1">
      <alignment horizontal="right" vertical="center"/>
    </xf>
    <xf numFmtId="176" fontId="29" fillId="2" borderId="59" xfId="10" applyNumberFormat="1" applyFont="1" applyFill="1" applyBorder="1" applyAlignment="1">
      <alignment horizontal="right" vertical="center"/>
    </xf>
    <xf numFmtId="0" fontId="45" fillId="7" borderId="50" xfId="10" applyNumberFormat="1" applyFont="1" applyFill="1" applyBorder="1">
      <alignment vertical="center"/>
    </xf>
    <xf numFmtId="41" fontId="45" fillId="7" borderId="50" xfId="11" applyNumberFormat="1" applyFont="1" applyFill="1" applyBorder="1">
      <alignment vertical="center"/>
    </xf>
    <xf numFmtId="0" fontId="45" fillId="7" borderId="50" xfId="10" applyNumberFormat="1" applyFont="1" applyFill="1" applyBorder="1" applyAlignment="1">
      <alignment vertical="center"/>
    </xf>
    <xf numFmtId="0" fontId="45" fillId="7" borderId="50" xfId="10" applyNumberFormat="1" applyFont="1" applyFill="1" applyBorder="1" applyAlignment="1">
      <alignment horizontal="center" vertical="center"/>
    </xf>
    <xf numFmtId="49" fontId="29" fillId="2" borderId="50" xfId="10" applyNumberFormat="1" applyFont="1" applyFill="1" applyBorder="1">
      <alignment vertical="center"/>
    </xf>
    <xf numFmtId="49" fontId="45" fillId="7" borderId="50" xfId="10" applyNumberFormat="1" applyFont="1" applyFill="1" applyBorder="1">
      <alignment vertical="center"/>
    </xf>
    <xf numFmtId="0" fontId="27" fillId="0" borderId="57" xfId="10" applyFont="1" applyBorder="1">
      <alignment vertical="center"/>
    </xf>
    <xf numFmtId="0" fontId="27" fillId="0" borderId="49" xfId="10" applyFont="1" applyFill="1" applyBorder="1">
      <alignment vertical="center"/>
    </xf>
    <xf numFmtId="0" fontId="27" fillId="0" borderId="0" xfId="10" applyFont="1" applyFill="1" applyBorder="1">
      <alignment vertical="center"/>
    </xf>
    <xf numFmtId="49" fontId="27" fillId="0" borderId="0" xfId="10" applyNumberFormat="1" applyFont="1" applyFill="1" applyBorder="1">
      <alignment vertical="center"/>
    </xf>
    <xf numFmtId="41" fontId="27" fillId="0" borderId="0" xfId="11" applyFont="1" applyBorder="1">
      <alignment vertical="center"/>
    </xf>
    <xf numFmtId="0" fontId="27" fillId="0" borderId="0" xfId="10" applyFont="1" applyBorder="1" applyAlignment="1">
      <alignment horizontal="center" vertical="center"/>
    </xf>
    <xf numFmtId="177" fontId="27" fillId="0" borderId="49" xfId="11" applyNumberFormat="1" applyFont="1" applyBorder="1" applyAlignment="1">
      <alignment horizontal="right" vertical="center"/>
    </xf>
    <xf numFmtId="41" fontId="27" fillId="0" borderId="49" xfId="11" applyFont="1" applyBorder="1" applyAlignment="1">
      <alignment horizontal="right" vertical="center"/>
    </xf>
    <xf numFmtId="0" fontId="27" fillId="0" borderId="60" xfId="10" applyFont="1" applyBorder="1" applyAlignment="1">
      <alignment horizontal="right" vertical="center"/>
    </xf>
    <xf numFmtId="0" fontId="27" fillId="0" borderId="0" xfId="10" applyFont="1">
      <alignment vertical="center"/>
    </xf>
    <xf numFmtId="0" fontId="27" fillId="0" borderId="118" xfId="10" applyFont="1" applyBorder="1">
      <alignment vertical="center"/>
    </xf>
    <xf numFmtId="0" fontId="27" fillId="0" borderId="48" xfId="10" applyFont="1" applyFill="1" applyBorder="1">
      <alignment vertical="center"/>
    </xf>
    <xf numFmtId="0" fontId="27" fillId="0" borderId="16" xfId="10" applyFont="1" applyFill="1" applyBorder="1">
      <alignment vertical="center"/>
    </xf>
    <xf numFmtId="49" fontId="27" fillId="0" borderId="16" xfId="10" applyNumberFormat="1" applyFont="1" applyFill="1" applyBorder="1" applyAlignment="1">
      <alignment horizontal="left" vertical="center" wrapText="1" indent="1"/>
    </xf>
    <xf numFmtId="0" fontId="27" fillId="0" borderId="16" xfId="10" applyFont="1" applyBorder="1">
      <alignment vertical="center"/>
    </xf>
    <xf numFmtId="0" fontId="27" fillId="0" borderId="16" xfId="10" applyFont="1" applyBorder="1" applyAlignment="1">
      <alignment horizontal="center" vertical="center"/>
    </xf>
    <xf numFmtId="3" fontId="36" fillId="0" borderId="16" xfId="10" applyNumberFormat="1" applyFont="1" applyBorder="1">
      <alignment vertical="center"/>
    </xf>
    <xf numFmtId="177" fontId="27" fillId="0" borderId="48" xfId="11" applyNumberFormat="1" applyFont="1" applyBorder="1" applyAlignment="1">
      <alignment horizontal="right" vertical="center"/>
    </xf>
    <xf numFmtId="41" fontId="27" fillId="0" borderId="48" xfId="11" applyFont="1" applyBorder="1" applyAlignment="1">
      <alignment horizontal="right" vertical="center"/>
    </xf>
    <xf numFmtId="0" fontId="27" fillId="0" borderId="58" xfId="10" applyFont="1" applyBorder="1" applyAlignment="1">
      <alignment horizontal="right" vertical="center"/>
    </xf>
    <xf numFmtId="49" fontId="27" fillId="0" borderId="0" xfId="10" applyNumberFormat="1" applyFont="1" applyFill="1" applyBorder="1" applyAlignment="1">
      <alignment horizontal="left" vertical="center" wrapText="1" indent="1"/>
    </xf>
    <xf numFmtId="179" fontId="27" fillId="0" borderId="0" xfId="10" applyNumberFormat="1" applyFont="1" applyBorder="1">
      <alignment vertical="center"/>
    </xf>
    <xf numFmtId="0" fontId="27" fillId="0" borderId="0" xfId="10" applyFont="1" applyFill="1" applyBorder="1" applyAlignment="1">
      <alignment horizontal="left" vertical="center" indent="1"/>
    </xf>
    <xf numFmtId="0" fontId="27" fillId="0" borderId="16" xfId="10" applyFont="1" applyFill="1" applyBorder="1" applyAlignment="1">
      <alignment horizontal="left" vertical="center" indent="1"/>
    </xf>
    <xf numFmtId="41" fontId="27" fillId="0" borderId="16" xfId="11" applyFont="1" applyBorder="1">
      <alignment vertical="center"/>
    </xf>
    <xf numFmtId="182" fontId="27" fillId="0" borderId="16" xfId="10" applyNumberFormat="1" applyFont="1" applyBorder="1">
      <alignment vertical="center"/>
    </xf>
    <xf numFmtId="182" fontId="27" fillId="0" borderId="16" xfId="10" applyNumberFormat="1" applyFont="1" applyBorder="1" applyAlignment="1">
      <alignment vertical="center"/>
    </xf>
    <xf numFmtId="49" fontId="45" fillId="7" borderId="16" xfId="10" applyNumberFormat="1" applyFont="1" applyFill="1" applyBorder="1">
      <alignment vertical="center"/>
    </xf>
    <xf numFmtId="41" fontId="45" fillId="7" borderId="16" xfId="11" applyNumberFormat="1" applyFont="1" applyFill="1" applyBorder="1">
      <alignment vertical="center"/>
    </xf>
    <xf numFmtId="0" fontId="45" fillId="7" borderId="16" xfId="10" applyNumberFormat="1" applyFont="1" applyFill="1" applyBorder="1">
      <alignment vertical="center"/>
    </xf>
    <xf numFmtId="0" fontId="45" fillId="7" borderId="16" xfId="10" applyNumberFormat="1" applyFont="1" applyFill="1" applyBorder="1" applyAlignment="1">
      <alignment vertical="center"/>
    </xf>
    <xf numFmtId="0" fontId="45" fillId="7" borderId="16" xfId="10" applyNumberFormat="1" applyFont="1" applyFill="1" applyBorder="1" applyAlignment="1">
      <alignment horizontal="center" vertical="center"/>
    </xf>
    <xf numFmtId="0" fontId="27" fillId="0" borderId="0" xfId="10" applyFont="1" applyFill="1" applyBorder="1" applyAlignment="1">
      <alignment horizontal="left" vertical="center" wrapText="1" indent="1"/>
    </xf>
    <xf numFmtId="0" fontId="33" fillId="0" borderId="48" xfId="0" applyFont="1" applyFill="1" applyBorder="1">
      <alignment vertical="center"/>
    </xf>
    <xf numFmtId="191" fontId="27" fillId="0" borderId="16" xfId="0" applyNumberFormat="1" applyFont="1" applyBorder="1">
      <alignment vertical="center"/>
    </xf>
    <xf numFmtId="176" fontId="45" fillId="0" borderId="58" xfId="11" applyNumberFormat="1" applyFont="1" applyBorder="1" applyAlignment="1">
      <alignment horizontal="right" vertical="center"/>
    </xf>
    <xf numFmtId="176" fontId="29" fillId="2" borderId="59" xfId="11" applyNumberFormat="1" applyFont="1" applyFill="1" applyBorder="1" applyAlignment="1">
      <alignment horizontal="right" vertical="center"/>
    </xf>
    <xf numFmtId="0" fontId="36" fillId="0" borderId="28" xfId="10" applyNumberFormat="1" applyFont="1" applyFill="1" applyBorder="1" applyAlignment="1">
      <alignment horizontal="left" vertical="center" wrapText="1" indent="1"/>
    </xf>
    <xf numFmtId="49" fontId="36" fillId="0" borderId="28" xfId="10" applyNumberFormat="1" applyFont="1" applyFill="1" applyBorder="1" applyAlignment="1">
      <alignment horizontal="left" vertical="center" wrapText="1" indent="1"/>
    </xf>
    <xf numFmtId="182" fontId="36" fillId="0" borderId="28" xfId="10" applyNumberFormat="1" applyFont="1" applyBorder="1">
      <alignment vertical="center"/>
    </xf>
    <xf numFmtId="182" fontId="36" fillId="0" borderId="28" xfId="10" applyNumberFormat="1" applyFont="1" applyBorder="1" applyAlignment="1">
      <alignment vertical="center"/>
    </xf>
    <xf numFmtId="0" fontId="36" fillId="0" borderId="40" xfId="10" applyNumberFormat="1" applyFont="1" applyBorder="1" applyAlignment="1">
      <alignment horizontal="right" vertical="center"/>
    </xf>
    <xf numFmtId="0" fontId="45" fillId="0" borderId="48" xfId="10" applyNumberFormat="1" applyFont="1" applyFill="1" applyBorder="1">
      <alignment vertical="center"/>
    </xf>
    <xf numFmtId="0" fontId="36" fillId="0" borderId="47" xfId="10" applyNumberFormat="1" applyFont="1" applyFill="1" applyBorder="1">
      <alignment vertical="center"/>
    </xf>
    <xf numFmtId="0" fontId="29" fillId="2" borderId="16" xfId="10" applyNumberFormat="1" applyFont="1" applyFill="1" applyBorder="1">
      <alignment vertical="center"/>
    </xf>
    <xf numFmtId="49" fontId="29" fillId="2" borderId="16" xfId="10" applyNumberFormat="1" applyFont="1" applyFill="1" applyBorder="1">
      <alignment vertical="center"/>
    </xf>
    <xf numFmtId="41" fontId="29" fillId="2" borderId="16" xfId="11" applyNumberFormat="1" applyFont="1" applyFill="1" applyBorder="1">
      <alignment vertical="center"/>
    </xf>
    <xf numFmtId="0" fontId="29" fillId="2" borderId="16" xfId="10" applyNumberFormat="1" applyFont="1" applyFill="1" applyBorder="1" applyAlignment="1">
      <alignment vertical="center"/>
    </xf>
    <xf numFmtId="0" fontId="29" fillId="2" borderId="16" xfId="10" applyNumberFormat="1" applyFont="1" applyFill="1" applyBorder="1" applyAlignment="1">
      <alignment horizontal="center" vertical="center"/>
    </xf>
    <xf numFmtId="177" fontId="29" fillId="2" borderId="48" xfId="11" applyNumberFormat="1" applyFont="1" applyFill="1" applyBorder="1" applyAlignment="1">
      <alignment horizontal="right" vertical="center"/>
    </xf>
    <xf numFmtId="177" fontId="30" fillId="2" borderId="48" xfId="11" applyNumberFormat="1" applyFont="1" applyFill="1" applyBorder="1" applyAlignment="1">
      <alignment horizontal="right" vertical="center"/>
    </xf>
    <xf numFmtId="176" fontId="30" fillId="2" borderId="58" xfId="12" applyNumberFormat="1" applyFont="1" applyFill="1" applyBorder="1" applyAlignment="1">
      <alignment horizontal="right" vertical="center"/>
    </xf>
    <xf numFmtId="0" fontId="45" fillId="8" borderId="53" xfId="10" applyNumberFormat="1" applyFont="1" applyFill="1" applyBorder="1">
      <alignment vertical="center"/>
    </xf>
    <xf numFmtId="0" fontId="45" fillId="9" borderId="0" xfId="10" applyNumberFormat="1" applyFont="1" applyFill="1">
      <alignment vertical="center"/>
    </xf>
    <xf numFmtId="49" fontId="45" fillId="9" borderId="50" xfId="10" applyNumberFormat="1" applyFont="1" applyFill="1" applyBorder="1">
      <alignment vertical="center"/>
    </xf>
    <xf numFmtId="41" fontId="45" fillId="9" borderId="50" xfId="11" applyNumberFormat="1" applyFont="1" applyFill="1" applyBorder="1">
      <alignment vertical="center"/>
    </xf>
    <xf numFmtId="0" fontId="45" fillId="9" borderId="50" xfId="10" applyNumberFormat="1" applyFont="1" applyFill="1" applyBorder="1">
      <alignment vertical="center"/>
    </xf>
    <xf numFmtId="0" fontId="45" fillId="9" borderId="50" xfId="10" applyNumberFormat="1" applyFont="1" applyFill="1" applyBorder="1" applyAlignment="1">
      <alignment vertical="center"/>
    </xf>
    <xf numFmtId="0" fontId="45" fillId="9" borderId="50" xfId="10" applyNumberFormat="1" applyFont="1" applyFill="1" applyBorder="1" applyAlignment="1">
      <alignment horizontal="center" vertical="center"/>
    </xf>
    <xf numFmtId="177" fontId="36" fillId="9" borderId="52" xfId="11" applyNumberFormat="1" applyFont="1" applyFill="1" applyBorder="1" applyAlignment="1">
      <alignment horizontal="right" vertical="center"/>
    </xf>
    <xf numFmtId="177" fontId="36" fillId="9" borderId="48" xfId="11" applyNumberFormat="1" applyFont="1" applyFill="1" applyBorder="1" applyAlignment="1">
      <alignment horizontal="right" vertical="center"/>
    </xf>
    <xf numFmtId="176" fontId="36" fillId="9" borderId="58" xfId="12" applyNumberFormat="1" applyFont="1" applyFill="1" applyBorder="1" applyAlignment="1">
      <alignment horizontal="right" vertical="center"/>
    </xf>
    <xf numFmtId="49" fontId="31" fillId="0" borderId="0" xfId="0" applyNumberFormat="1" applyFont="1" applyFill="1">
      <alignment vertical="center"/>
    </xf>
    <xf numFmtId="0" fontId="27" fillId="0" borderId="0" xfId="0" applyNumberFormat="1" applyFont="1">
      <alignment vertical="center"/>
    </xf>
    <xf numFmtId="0" fontId="29" fillId="2" borderId="56" xfId="0" applyFont="1" applyFill="1" applyBorder="1">
      <alignment vertical="center"/>
    </xf>
    <xf numFmtId="41" fontId="29" fillId="2" borderId="28" xfId="1" applyFont="1" applyFill="1" applyBorder="1">
      <alignment vertical="center"/>
    </xf>
    <xf numFmtId="0" fontId="29" fillId="2" borderId="28" xfId="0" applyFont="1" applyFill="1" applyBorder="1">
      <alignment vertical="center"/>
    </xf>
    <xf numFmtId="0" fontId="29" fillId="2" borderId="28" xfId="0" applyNumberFormat="1" applyFont="1" applyFill="1" applyBorder="1">
      <alignment vertical="center"/>
    </xf>
    <xf numFmtId="0" fontId="29" fillId="2" borderId="28" xfId="0" applyFont="1" applyFill="1" applyBorder="1" applyAlignment="1">
      <alignment horizontal="center" vertical="center"/>
    </xf>
    <xf numFmtId="177" fontId="29" fillId="2" borderId="39" xfId="1" applyNumberFormat="1" applyFont="1" applyFill="1" applyBorder="1" applyAlignment="1">
      <alignment horizontal="right" vertical="center"/>
    </xf>
    <xf numFmtId="176" fontId="29" fillId="2" borderId="40" xfId="1" applyNumberFormat="1" applyFont="1" applyFill="1" applyBorder="1" applyAlignment="1">
      <alignment horizontal="right" vertical="center"/>
    </xf>
    <xf numFmtId="0" fontId="33" fillId="0" borderId="16" xfId="0" applyNumberFormat="1" applyFont="1" applyFill="1" applyBorder="1">
      <alignment vertical="center"/>
    </xf>
    <xf numFmtId="0" fontId="33" fillId="0" borderId="16" xfId="0" applyFont="1" applyFill="1" applyBorder="1" applyAlignment="1">
      <alignment vertical="center"/>
    </xf>
    <xf numFmtId="0" fontId="33" fillId="0" borderId="50" xfId="0" applyNumberFormat="1" applyFont="1" applyFill="1" applyBorder="1">
      <alignment vertical="center"/>
    </xf>
    <xf numFmtId="0" fontId="29" fillId="2" borderId="50" xfId="0" applyNumberFormat="1" applyFont="1" applyFill="1" applyBorder="1">
      <alignment vertical="center"/>
    </xf>
    <xf numFmtId="0" fontId="27" fillId="9" borderId="50" xfId="0" applyNumberFormat="1" applyFont="1" applyFill="1" applyBorder="1">
      <alignment vertical="center"/>
    </xf>
    <xf numFmtId="0" fontId="27" fillId="0" borderId="0" xfId="0" applyNumberFormat="1" applyFont="1" applyFill="1" applyBorder="1">
      <alignment vertical="center"/>
    </xf>
    <xf numFmtId="0" fontId="27" fillId="0" borderId="0" xfId="0" applyFont="1" applyFill="1" applyBorder="1" applyAlignment="1">
      <alignment vertical="center"/>
    </xf>
    <xf numFmtId="41" fontId="27" fillId="10" borderId="0" xfId="1" applyFont="1" applyFill="1" applyBorder="1">
      <alignment vertical="center"/>
    </xf>
    <xf numFmtId="0" fontId="27" fillId="10" borderId="0" xfId="0" applyNumberFormat="1" applyFont="1" applyFill="1" applyBorder="1">
      <alignment vertical="center"/>
    </xf>
    <xf numFmtId="0" fontId="27" fillId="10" borderId="0" xfId="0" applyFont="1" applyFill="1" applyBorder="1" applyAlignment="1">
      <alignment vertical="center"/>
    </xf>
    <xf numFmtId="178" fontId="27" fillId="10" borderId="0" xfId="0" applyNumberFormat="1" applyFont="1" applyFill="1" applyBorder="1">
      <alignment vertical="center"/>
    </xf>
    <xf numFmtId="0" fontId="27" fillId="0" borderId="0" xfId="0" applyNumberFormat="1" applyFont="1" applyBorder="1">
      <alignment vertical="center"/>
    </xf>
    <xf numFmtId="184" fontId="27" fillId="0" borderId="0" xfId="0" applyNumberFormat="1" applyFont="1" applyBorder="1">
      <alignment vertical="center"/>
    </xf>
    <xf numFmtId="41" fontId="27" fillId="0" borderId="0" xfId="1" quotePrefix="1" applyFont="1" applyBorder="1">
      <alignment vertical="center"/>
    </xf>
    <xf numFmtId="0" fontId="27" fillId="0" borderId="16" xfId="0" applyFont="1" applyBorder="1" applyAlignment="1">
      <alignment vertical="center"/>
    </xf>
    <xf numFmtId="184" fontId="27" fillId="0" borderId="16" xfId="0" applyNumberFormat="1" applyFont="1" applyBorder="1">
      <alignment vertical="center"/>
    </xf>
    <xf numFmtId="3" fontId="31" fillId="0" borderId="0" xfId="0" applyNumberFormat="1" applyFont="1" applyBorder="1">
      <alignment vertical="center"/>
    </xf>
    <xf numFmtId="195" fontId="37" fillId="0" borderId="0" xfId="0" applyNumberFormat="1" applyFont="1" applyBorder="1">
      <alignment vertical="center"/>
    </xf>
    <xf numFmtId="195" fontId="27" fillId="0" borderId="0" xfId="0" applyNumberFormat="1" applyFont="1" applyBorder="1">
      <alignment vertical="center"/>
    </xf>
    <xf numFmtId="0" fontId="27" fillId="0" borderId="46" xfId="0" applyFont="1" applyFill="1" applyBorder="1" applyAlignment="1">
      <alignment horizontal="left" vertical="center" wrapText="1" indent="1"/>
    </xf>
    <xf numFmtId="0" fontId="27" fillId="0" borderId="47" xfId="0" applyFont="1" applyFill="1" applyBorder="1" applyAlignment="1">
      <alignment horizontal="left" vertical="center" wrapText="1" indent="1"/>
    </xf>
    <xf numFmtId="195" fontId="27" fillId="0" borderId="16" xfId="0" applyNumberFormat="1" applyFont="1" applyBorder="1">
      <alignment vertical="center"/>
    </xf>
    <xf numFmtId="182" fontId="27" fillId="0" borderId="16" xfId="0" applyNumberFormat="1" applyFont="1" applyBorder="1" applyAlignment="1">
      <alignment vertical="center"/>
    </xf>
    <xf numFmtId="0" fontId="27" fillId="9" borderId="16" xfId="0" applyNumberFormat="1" applyFont="1" applyFill="1" applyBorder="1">
      <alignment vertical="center"/>
    </xf>
    <xf numFmtId="202" fontId="27" fillId="0" borderId="0" xfId="0" applyNumberFormat="1" applyFont="1" applyBorder="1">
      <alignment vertical="center"/>
    </xf>
    <xf numFmtId="0" fontId="27" fillId="9" borderId="55" xfId="0" applyFont="1" applyFill="1" applyBorder="1">
      <alignment vertical="center"/>
    </xf>
    <xf numFmtId="203" fontId="27" fillId="0" borderId="0" xfId="0" applyNumberFormat="1" applyFont="1" applyBorder="1">
      <alignment vertical="center"/>
    </xf>
    <xf numFmtId="41" fontId="27" fillId="0" borderId="69" xfId="0" applyNumberFormat="1" applyFont="1" applyBorder="1">
      <alignment vertical="center"/>
    </xf>
    <xf numFmtId="0" fontId="45" fillId="0" borderId="63" xfId="10" applyNumberFormat="1" applyFont="1" applyFill="1" applyBorder="1">
      <alignment vertical="center"/>
    </xf>
    <xf numFmtId="201" fontId="36" fillId="0" borderId="0" xfId="10" applyNumberFormat="1" applyFont="1" applyFill="1" applyBorder="1" applyAlignment="1" applyProtection="1">
      <alignment vertical="center"/>
    </xf>
    <xf numFmtId="0" fontId="29" fillId="2" borderId="64" xfId="10" applyNumberFormat="1" applyFont="1" applyFill="1" applyBorder="1">
      <alignment vertical="center"/>
    </xf>
    <xf numFmtId="0" fontId="29" fillId="2" borderId="61" xfId="10" applyNumberFormat="1" applyFont="1" applyFill="1" applyBorder="1">
      <alignment vertical="center"/>
    </xf>
    <xf numFmtId="41" fontId="29" fillId="2" borderId="61" xfId="11" applyNumberFormat="1" applyFont="1" applyFill="1" applyBorder="1">
      <alignment vertical="center"/>
    </xf>
    <xf numFmtId="0" fontId="29" fillId="2" borderId="61" xfId="10" applyNumberFormat="1" applyFont="1" applyFill="1" applyBorder="1" applyAlignment="1">
      <alignment vertical="center"/>
    </xf>
    <xf numFmtId="0" fontId="29" fillId="2" borderId="61" xfId="10" applyNumberFormat="1" applyFont="1" applyFill="1" applyBorder="1" applyAlignment="1">
      <alignment horizontal="center" vertical="center"/>
    </xf>
    <xf numFmtId="177" fontId="29" fillId="2" borderId="53" xfId="11" applyNumberFormat="1" applyFont="1" applyFill="1" applyBorder="1" applyAlignment="1">
      <alignment horizontal="right" vertical="center"/>
    </xf>
    <xf numFmtId="176" fontId="29" fillId="2" borderId="62" xfId="10" applyNumberFormat="1" applyFont="1" applyFill="1" applyBorder="1" applyAlignment="1">
      <alignment horizontal="right" vertical="center"/>
    </xf>
    <xf numFmtId="0" fontId="29" fillId="2" borderId="122" xfId="0" applyFont="1" applyFill="1" applyBorder="1">
      <alignment vertical="center"/>
    </xf>
    <xf numFmtId="0" fontId="29" fillId="2" borderId="123" xfId="0" applyFont="1" applyFill="1" applyBorder="1">
      <alignment vertical="center"/>
    </xf>
    <xf numFmtId="49" fontId="29" fillId="2" borderId="123" xfId="0" applyNumberFormat="1" applyFont="1" applyFill="1" applyBorder="1">
      <alignment vertical="center"/>
    </xf>
    <xf numFmtId="41" fontId="29" fillId="2" borderId="123" xfId="1" applyFont="1" applyFill="1" applyBorder="1">
      <alignment vertical="center"/>
    </xf>
    <xf numFmtId="0" fontId="29" fillId="2" borderId="123" xfId="0" applyNumberFormat="1" applyFont="1" applyFill="1" applyBorder="1">
      <alignment vertical="center"/>
    </xf>
    <xf numFmtId="0" fontId="29" fillId="2" borderId="123" xfId="0" applyFont="1" applyFill="1" applyBorder="1" applyAlignment="1">
      <alignment vertical="center"/>
    </xf>
    <xf numFmtId="0" fontId="29" fillId="2" borderId="123" xfId="0" applyFont="1" applyFill="1" applyBorder="1" applyAlignment="1">
      <alignment horizontal="center" vertical="center"/>
    </xf>
    <xf numFmtId="3" fontId="29" fillId="2" borderId="123" xfId="0" applyNumberFormat="1" applyFont="1" applyFill="1" applyBorder="1">
      <alignment vertical="center"/>
    </xf>
    <xf numFmtId="177" fontId="29" fillId="2" borderId="124" xfId="1" applyNumberFormat="1" applyFont="1" applyFill="1" applyBorder="1" applyAlignment="1">
      <alignment horizontal="right" vertical="center"/>
    </xf>
    <xf numFmtId="176" fontId="29" fillId="2" borderId="121" xfId="0" applyNumberFormat="1" applyFont="1" applyFill="1" applyBorder="1" applyAlignment="1">
      <alignment horizontal="right" vertical="center"/>
    </xf>
    <xf numFmtId="3" fontId="27" fillId="9" borderId="50" xfId="0" applyNumberFormat="1" applyFont="1" applyFill="1" applyBorder="1">
      <alignment vertical="center"/>
    </xf>
    <xf numFmtId="177" fontId="28" fillId="10" borderId="48" xfId="1" applyNumberFormat="1" applyFont="1" applyFill="1" applyBorder="1" applyAlignment="1">
      <alignment horizontal="right" vertical="center"/>
    </xf>
    <xf numFmtId="176" fontId="33" fillId="0" borderId="58" xfId="1" applyNumberFormat="1" applyFont="1" applyBorder="1" applyAlignment="1">
      <alignment horizontal="right" vertical="center"/>
    </xf>
    <xf numFmtId="0" fontId="33" fillId="10" borderId="66" xfId="0" applyFont="1" applyFill="1" applyBorder="1">
      <alignment vertical="center"/>
    </xf>
    <xf numFmtId="0" fontId="27" fillId="9" borderId="36" xfId="0" applyFont="1" applyFill="1" applyBorder="1">
      <alignment vertical="center"/>
    </xf>
    <xf numFmtId="49" fontId="33" fillId="9" borderId="36" xfId="0" applyNumberFormat="1" applyFont="1" applyFill="1" applyBorder="1">
      <alignment vertical="center"/>
    </xf>
    <xf numFmtId="41" fontId="33" fillId="9" borderId="36" xfId="1" applyFont="1" applyFill="1" applyBorder="1">
      <alignment vertical="center"/>
    </xf>
    <xf numFmtId="0" fontId="33" fillId="9" borderId="36" xfId="0" applyFont="1" applyFill="1" applyBorder="1">
      <alignment vertical="center"/>
    </xf>
    <xf numFmtId="0" fontId="33" fillId="9" borderId="36" xfId="0" applyFont="1" applyFill="1" applyBorder="1" applyAlignment="1">
      <alignment vertical="center"/>
    </xf>
    <xf numFmtId="0" fontId="33" fillId="9" borderId="36" xfId="0" applyFont="1" applyFill="1" applyBorder="1" applyAlignment="1">
      <alignment horizontal="center" vertical="center"/>
    </xf>
    <xf numFmtId="0" fontId="31" fillId="0" borderId="0" xfId="0" applyFont="1" applyAlignment="1">
      <alignment vertical="center"/>
    </xf>
    <xf numFmtId="0" fontId="28" fillId="0" borderId="16" xfId="0" applyFont="1" applyBorder="1" applyAlignment="1">
      <alignment vertical="center"/>
    </xf>
    <xf numFmtId="0" fontId="28" fillId="0" borderId="50" xfId="0" applyFont="1" applyBorder="1" applyAlignment="1">
      <alignment vertical="center"/>
    </xf>
    <xf numFmtId="184" fontId="67" fillId="0" borderId="0" xfId="0" applyNumberFormat="1" applyFont="1" applyBorder="1">
      <alignment vertical="center"/>
    </xf>
    <xf numFmtId="0" fontId="31" fillId="0" borderId="16" xfId="0" applyFont="1" applyFill="1" applyBorder="1" applyAlignment="1">
      <alignment horizontal="left" vertical="center" indent="1"/>
    </xf>
    <xf numFmtId="49" fontId="31" fillId="0" borderId="16" xfId="0" applyNumberFormat="1" applyFont="1" applyFill="1" applyBorder="1" applyAlignment="1">
      <alignment horizontal="left" vertical="center" indent="1"/>
    </xf>
    <xf numFmtId="0" fontId="31" fillId="0" borderId="119" xfId="0" applyFont="1" applyBorder="1">
      <alignment vertical="center"/>
    </xf>
    <xf numFmtId="0" fontId="31" fillId="0" borderId="61" xfId="0" applyFont="1" applyFill="1" applyBorder="1" applyAlignment="1">
      <alignment horizontal="left" vertical="center" wrapText="1" indent="1"/>
    </xf>
    <xf numFmtId="194" fontId="31" fillId="0" borderId="61" xfId="1" applyNumberFormat="1" applyFont="1" applyBorder="1">
      <alignment vertical="center"/>
    </xf>
    <xf numFmtId="0" fontId="30" fillId="2" borderId="50" xfId="0" applyFont="1" applyFill="1" applyBorder="1">
      <alignment vertical="center"/>
    </xf>
    <xf numFmtId="49" fontId="30" fillId="2" borderId="50" xfId="0" applyNumberFormat="1" applyFont="1" applyFill="1" applyBorder="1">
      <alignment vertical="center"/>
    </xf>
    <xf numFmtId="41" fontId="30" fillId="2" borderId="50" xfId="1" applyFont="1" applyFill="1" applyBorder="1">
      <alignment vertical="center"/>
    </xf>
    <xf numFmtId="0" fontId="30" fillId="2" borderId="50" xfId="0" applyFont="1" applyFill="1" applyBorder="1" applyAlignment="1">
      <alignment vertical="center"/>
    </xf>
    <xf numFmtId="0" fontId="30" fillId="2" borderId="50" xfId="0" applyFont="1" applyFill="1" applyBorder="1" applyAlignment="1">
      <alignment horizontal="center" vertical="center"/>
    </xf>
    <xf numFmtId="43" fontId="31" fillId="0" borderId="0" xfId="0" applyNumberFormat="1" applyFont="1">
      <alignment vertical="center"/>
    </xf>
    <xf numFmtId="194" fontId="31" fillId="0" borderId="0" xfId="1" applyNumberFormat="1" applyFont="1" applyFill="1" applyBorder="1">
      <alignment vertical="center"/>
    </xf>
    <xf numFmtId="0" fontId="31" fillId="0" borderId="47" xfId="0" applyFont="1" applyFill="1" applyBorder="1" applyAlignment="1">
      <alignment horizontal="left" vertical="center" wrapText="1" indent="1"/>
    </xf>
    <xf numFmtId="41" fontId="31" fillId="0" borderId="16" xfId="1" applyFont="1" applyFill="1" applyBorder="1" applyAlignment="1">
      <alignment vertical="center" wrapText="1"/>
    </xf>
    <xf numFmtId="182" fontId="31" fillId="0" borderId="16" xfId="0" applyNumberFormat="1" applyFont="1" applyFill="1" applyBorder="1">
      <alignment vertical="center"/>
    </xf>
    <xf numFmtId="182" fontId="31" fillId="0" borderId="16" xfId="0" applyNumberFormat="1" applyFont="1" applyFill="1" applyBorder="1" applyAlignment="1">
      <alignment vertical="center"/>
    </xf>
    <xf numFmtId="0" fontId="31" fillId="0" borderId="16" xfId="0" applyFont="1" applyFill="1" applyBorder="1" applyAlignment="1">
      <alignment horizontal="center" vertical="center"/>
    </xf>
    <xf numFmtId="41" fontId="31" fillId="0" borderId="16" xfId="0" applyNumberFormat="1" applyFont="1" applyFill="1" applyBorder="1">
      <alignment vertical="center"/>
    </xf>
    <xf numFmtId="49" fontId="31" fillId="0" borderId="50" xfId="0" applyNumberFormat="1" applyFont="1" applyFill="1" applyBorder="1">
      <alignment vertical="center"/>
    </xf>
    <xf numFmtId="0" fontId="31" fillId="0" borderId="50" xfId="0" applyFont="1" applyBorder="1" applyAlignment="1">
      <alignment vertical="center"/>
    </xf>
    <xf numFmtId="0" fontId="31" fillId="0" borderId="57" xfId="10" applyNumberFormat="1" applyFont="1" applyBorder="1">
      <alignment vertical="center"/>
    </xf>
    <xf numFmtId="0" fontId="28" fillId="0" borderId="49" xfId="10" applyNumberFormat="1" applyFont="1" applyFill="1" applyBorder="1">
      <alignment vertical="center"/>
    </xf>
    <xf numFmtId="0" fontId="28" fillId="0" borderId="0" xfId="10" applyNumberFormat="1" applyFont="1" applyFill="1" applyBorder="1">
      <alignment vertical="center"/>
    </xf>
    <xf numFmtId="0" fontId="30" fillId="2" borderId="50" xfId="10" applyNumberFormat="1" applyFont="1" applyFill="1" applyBorder="1">
      <alignment vertical="center"/>
    </xf>
    <xf numFmtId="41" fontId="30" fillId="2" borderId="50" xfId="11" applyNumberFormat="1" applyFont="1" applyFill="1" applyBorder="1">
      <alignment vertical="center"/>
    </xf>
    <xf numFmtId="0" fontId="30" fillId="2" borderId="50" xfId="10" applyNumberFormat="1" applyFont="1" applyFill="1" applyBorder="1" applyAlignment="1">
      <alignment vertical="center"/>
    </xf>
    <xf numFmtId="0" fontId="30" fillId="2" borderId="50" xfId="10" applyNumberFormat="1" applyFont="1" applyFill="1" applyBorder="1" applyAlignment="1">
      <alignment horizontal="center" vertical="center"/>
    </xf>
    <xf numFmtId="0" fontId="31" fillId="0" borderId="0" xfId="10" applyNumberFormat="1" applyFont="1">
      <alignment vertical="center"/>
    </xf>
    <xf numFmtId="0" fontId="31" fillId="0" borderId="49" xfId="10" applyNumberFormat="1" applyFont="1" applyFill="1" applyBorder="1">
      <alignment vertical="center"/>
    </xf>
    <xf numFmtId="0" fontId="31" fillId="0" borderId="0" xfId="10" applyNumberFormat="1" applyFont="1" applyFill="1" applyBorder="1">
      <alignment vertical="center"/>
    </xf>
    <xf numFmtId="0" fontId="31" fillId="0" borderId="53" xfId="10" applyNumberFormat="1" applyFont="1" applyFill="1" applyBorder="1">
      <alignment vertical="center"/>
    </xf>
    <xf numFmtId="41" fontId="31" fillId="7" borderId="50" xfId="11" applyNumberFormat="1" applyFont="1" applyFill="1" applyBorder="1">
      <alignment vertical="center"/>
    </xf>
    <xf numFmtId="0" fontId="31" fillId="7" borderId="50" xfId="10" applyNumberFormat="1" applyFont="1" applyFill="1" applyBorder="1" applyAlignment="1">
      <alignment vertical="center"/>
    </xf>
    <xf numFmtId="0" fontId="31" fillId="7" borderId="50" xfId="10" applyNumberFormat="1" applyFont="1" applyFill="1" applyBorder="1" applyAlignment="1">
      <alignment horizontal="center" vertical="center"/>
    </xf>
    <xf numFmtId="177" fontId="31" fillId="7" borderId="52" xfId="11" applyNumberFormat="1" applyFont="1" applyFill="1" applyBorder="1" applyAlignment="1">
      <alignment horizontal="right" vertical="center"/>
    </xf>
    <xf numFmtId="176" fontId="31" fillId="7" borderId="59" xfId="12" applyNumberFormat="1" applyFont="1" applyFill="1" applyBorder="1" applyAlignment="1">
      <alignment horizontal="right" vertical="center"/>
    </xf>
    <xf numFmtId="49" fontId="31" fillId="0" borderId="0" xfId="10" applyNumberFormat="1" applyFont="1" applyBorder="1">
      <alignment vertical="center"/>
    </xf>
    <xf numFmtId="41" fontId="31" fillId="0" borderId="0" xfId="11" applyNumberFormat="1" applyFont="1" applyBorder="1">
      <alignment vertical="center"/>
    </xf>
    <xf numFmtId="0" fontId="31" fillId="0" borderId="0" xfId="10" applyNumberFormat="1" applyFont="1" applyBorder="1" applyAlignment="1">
      <alignment vertical="center"/>
    </xf>
    <xf numFmtId="0" fontId="31" fillId="0" borderId="0" xfId="10" applyNumberFormat="1" applyFont="1" applyBorder="1" applyAlignment="1">
      <alignment horizontal="center" vertical="center"/>
    </xf>
    <xf numFmtId="194" fontId="31" fillId="0" borderId="0" xfId="10" applyNumberFormat="1" applyFont="1" applyBorder="1">
      <alignment vertical="center"/>
    </xf>
    <xf numFmtId="177" fontId="31" fillId="0" borderId="49" xfId="11" applyNumberFormat="1" applyFont="1" applyFill="1" applyBorder="1" applyAlignment="1">
      <alignment horizontal="right" vertical="center"/>
    </xf>
    <xf numFmtId="176" fontId="31" fillId="0" borderId="60" xfId="12" applyNumberFormat="1" applyFont="1" applyFill="1" applyBorder="1" applyAlignment="1">
      <alignment horizontal="right" vertical="center"/>
    </xf>
    <xf numFmtId="41" fontId="31" fillId="0" borderId="0" xfId="10" applyNumberFormat="1" applyFont="1" applyBorder="1">
      <alignment vertical="center"/>
    </xf>
    <xf numFmtId="177" fontId="31" fillId="0" borderId="49" xfId="11" applyNumberFormat="1" applyFont="1" applyBorder="1" applyAlignment="1">
      <alignment horizontal="right" vertical="center"/>
    </xf>
    <xf numFmtId="41" fontId="31" fillId="0" borderId="49" xfId="11" applyNumberFormat="1" applyFont="1" applyBorder="1" applyAlignment="1">
      <alignment horizontal="right" vertical="center"/>
    </xf>
    <xf numFmtId="176" fontId="31" fillId="0" borderId="60" xfId="10" applyNumberFormat="1" applyFont="1" applyBorder="1" applyAlignment="1">
      <alignment horizontal="right" vertical="center"/>
    </xf>
    <xf numFmtId="194" fontId="31" fillId="0" borderId="0" xfId="0" applyNumberFormat="1" applyFont="1" applyFill="1" applyBorder="1" applyAlignment="1">
      <alignment horizontal="right" vertical="center"/>
    </xf>
    <xf numFmtId="177" fontId="31" fillId="0" borderId="60" xfId="1" applyNumberFormat="1" applyFont="1" applyFill="1" applyBorder="1" applyAlignment="1">
      <alignment horizontal="right" vertical="center"/>
    </xf>
    <xf numFmtId="41" fontId="31" fillId="0" borderId="0" xfId="1" applyFont="1" applyFill="1">
      <alignment vertical="center"/>
    </xf>
    <xf numFmtId="0" fontId="31" fillId="0" borderId="48" xfId="10" applyNumberFormat="1" applyFont="1" applyFill="1" applyBorder="1">
      <alignment vertical="center"/>
    </xf>
    <xf numFmtId="41" fontId="31" fillId="0" borderId="0" xfId="11" applyNumberFormat="1" applyFont="1" applyBorder="1" applyAlignment="1">
      <alignment vertical="center" wrapText="1"/>
    </xf>
    <xf numFmtId="180" fontId="31" fillId="0" borderId="0" xfId="10" applyNumberFormat="1" applyFont="1" applyFill="1" applyBorder="1" applyAlignment="1" applyProtection="1">
      <alignment vertical="center"/>
    </xf>
    <xf numFmtId="182" fontId="31" fillId="0" borderId="0" xfId="10" applyNumberFormat="1" applyFont="1" applyBorder="1">
      <alignment vertical="center"/>
    </xf>
    <xf numFmtId="182" fontId="31" fillId="0" borderId="0" xfId="10" applyNumberFormat="1" applyFont="1" applyBorder="1" applyAlignment="1">
      <alignment vertical="center"/>
    </xf>
    <xf numFmtId="177" fontId="31" fillId="0" borderId="48" xfId="11" applyNumberFormat="1" applyFont="1" applyBorder="1" applyAlignment="1">
      <alignment horizontal="right" vertical="center"/>
    </xf>
    <xf numFmtId="198" fontId="31" fillId="0" borderId="0" xfId="0" applyNumberFormat="1" applyFont="1" applyBorder="1">
      <alignment vertical="center"/>
    </xf>
    <xf numFmtId="199" fontId="31" fillId="0" borderId="0" xfId="1" applyNumberFormat="1" applyFont="1" applyBorder="1">
      <alignment vertical="center"/>
    </xf>
    <xf numFmtId="177" fontId="28" fillId="0" borderId="49" xfId="1" applyNumberFormat="1" applyFont="1" applyBorder="1" applyAlignment="1">
      <alignment horizontal="right" vertical="center"/>
    </xf>
    <xf numFmtId="41" fontId="28" fillId="0" borderId="49" xfId="1" applyFont="1" applyBorder="1" applyAlignment="1">
      <alignment horizontal="right" vertical="center"/>
    </xf>
    <xf numFmtId="0" fontId="28" fillId="0" borderId="60" xfId="0" applyFont="1" applyBorder="1" applyAlignment="1">
      <alignment horizontal="right" vertical="center"/>
    </xf>
    <xf numFmtId="41" fontId="28" fillId="0" borderId="0" xfId="0" applyNumberFormat="1" applyFont="1">
      <alignment vertical="center"/>
    </xf>
    <xf numFmtId="200" fontId="31" fillId="0" borderId="0" xfId="0" applyNumberFormat="1" applyFont="1" applyBorder="1">
      <alignment vertical="center"/>
    </xf>
    <xf numFmtId="49" fontId="31" fillId="0" borderId="16" xfId="0" applyNumberFormat="1" applyFont="1" applyFill="1" applyBorder="1">
      <alignment vertical="center"/>
    </xf>
    <xf numFmtId="0" fontId="31" fillId="0" borderId="16" xfId="0" applyFont="1" applyBorder="1" applyAlignment="1">
      <alignment vertical="center"/>
    </xf>
    <xf numFmtId="176" fontId="28" fillId="0" borderId="59" xfId="1" applyNumberFormat="1" applyFont="1" applyBorder="1" applyAlignment="1">
      <alignment horizontal="right" vertical="center"/>
    </xf>
    <xf numFmtId="0" fontId="31" fillId="0" borderId="64" xfId="0" applyFont="1" applyFill="1" applyBorder="1">
      <alignment vertical="center"/>
    </xf>
    <xf numFmtId="177" fontId="28" fillId="0" borderId="53" xfId="1" applyNumberFormat="1" applyFont="1" applyBorder="1" applyAlignment="1">
      <alignment horizontal="right" vertical="center"/>
    </xf>
    <xf numFmtId="176" fontId="28" fillId="0" borderId="62" xfId="1" applyNumberFormat="1" applyFont="1" applyBorder="1" applyAlignment="1">
      <alignment horizontal="right" vertical="center"/>
    </xf>
    <xf numFmtId="176" fontId="28" fillId="0" borderId="58" xfId="1" applyNumberFormat="1" applyFont="1" applyBorder="1" applyAlignment="1">
      <alignment horizontal="right" vertical="center"/>
    </xf>
    <xf numFmtId="181" fontId="31" fillId="10" borderId="0" xfId="0" applyNumberFormat="1" applyFont="1" applyFill="1" applyBorder="1">
      <alignment vertical="center"/>
    </xf>
    <xf numFmtId="41" fontId="31" fillId="10" borderId="0" xfId="1" applyFont="1" applyFill="1" applyBorder="1" applyAlignment="1">
      <alignment vertical="center" wrapText="1"/>
    </xf>
    <xf numFmtId="188" fontId="31" fillId="0" borderId="16" xfId="0" applyNumberFormat="1" applyFont="1" applyBorder="1">
      <alignment vertical="center"/>
    </xf>
    <xf numFmtId="49" fontId="31" fillId="10" borderId="0" xfId="0" applyNumberFormat="1" applyFont="1" applyFill="1" applyBorder="1" applyAlignment="1">
      <alignment horizontal="left" vertical="center" wrapText="1" indent="1"/>
    </xf>
    <xf numFmtId="188" fontId="31" fillId="0" borderId="0" xfId="0" applyNumberFormat="1" applyFont="1" applyBorder="1">
      <alignment vertical="center"/>
    </xf>
    <xf numFmtId="182" fontId="31" fillId="10" borderId="0" xfId="0" applyNumberFormat="1" applyFont="1" applyFill="1" applyBorder="1">
      <alignment vertical="center"/>
    </xf>
    <xf numFmtId="182" fontId="31" fillId="10" borderId="0" xfId="0" applyNumberFormat="1" applyFont="1" applyFill="1" applyBorder="1" applyAlignment="1">
      <alignment vertical="center"/>
    </xf>
    <xf numFmtId="41" fontId="31" fillId="10" borderId="0" xfId="0" applyNumberFormat="1" applyFont="1" applyFill="1" applyBorder="1">
      <alignment vertical="center"/>
    </xf>
    <xf numFmtId="176" fontId="31" fillId="0" borderId="0" xfId="0" applyNumberFormat="1" applyFont="1" applyBorder="1">
      <alignment vertical="center"/>
    </xf>
    <xf numFmtId="0" fontId="31" fillId="0" borderId="0" xfId="0" applyNumberFormat="1" applyFont="1" applyBorder="1">
      <alignment vertical="center"/>
    </xf>
    <xf numFmtId="49" fontId="68" fillId="0" borderId="16" xfId="0" applyNumberFormat="1" applyFont="1" applyFill="1" applyBorder="1" applyAlignment="1">
      <alignment horizontal="left" vertical="center" indent="1"/>
    </xf>
    <xf numFmtId="198" fontId="31" fillId="0" borderId="16" xfId="0" applyNumberFormat="1" applyFont="1" applyBorder="1">
      <alignment vertical="center"/>
    </xf>
    <xf numFmtId="0" fontId="31" fillId="0" borderId="63" xfId="10" applyNumberFormat="1" applyFont="1" applyFill="1" applyBorder="1">
      <alignment vertical="center"/>
    </xf>
    <xf numFmtId="0" fontId="31" fillId="0" borderId="64" xfId="10" applyNumberFormat="1" applyFont="1" applyBorder="1">
      <alignment vertical="center"/>
    </xf>
    <xf numFmtId="49" fontId="31" fillId="0" borderId="61" xfId="10" applyNumberFormat="1" applyFont="1" applyBorder="1">
      <alignment vertical="center"/>
    </xf>
    <xf numFmtId="41" fontId="31" fillId="0" borderId="61" xfId="11" applyNumberFormat="1" applyFont="1" applyBorder="1">
      <alignment vertical="center"/>
    </xf>
    <xf numFmtId="0" fontId="31" fillId="0" borderId="61" xfId="10" applyNumberFormat="1" applyFont="1" applyBorder="1" applyAlignment="1">
      <alignment vertical="center"/>
    </xf>
    <xf numFmtId="0" fontId="31" fillId="0" borderId="61" xfId="10" applyNumberFormat="1" applyFont="1" applyBorder="1" applyAlignment="1">
      <alignment horizontal="center" vertical="center"/>
    </xf>
    <xf numFmtId="177" fontId="31" fillId="0" borderId="53" xfId="11" applyNumberFormat="1" applyFont="1" applyBorder="1" applyAlignment="1">
      <alignment horizontal="right" vertical="center"/>
    </xf>
    <xf numFmtId="41" fontId="31" fillId="0" borderId="53" xfId="11" applyNumberFormat="1" applyFont="1" applyBorder="1" applyAlignment="1">
      <alignment horizontal="right" vertical="center"/>
    </xf>
    <xf numFmtId="176" fontId="31" fillId="0" borderId="62" xfId="10" applyNumberFormat="1" applyFont="1" applyBorder="1" applyAlignment="1">
      <alignment horizontal="right" vertical="center"/>
    </xf>
    <xf numFmtId="179" fontId="31" fillId="0" borderId="0" xfId="10" applyNumberFormat="1" applyFont="1" applyBorder="1">
      <alignment vertical="center"/>
    </xf>
    <xf numFmtId="0" fontId="31" fillId="0" borderId="0" xfId="10" applyNumberFormat="1" applyFont="1" applyBorder="1" applyAlignment="1">
      <alignment horizontal="left" vertical="center" indent="1"/>
    </xf>
    <xf numFmtId="0" fontId="31" fillId="0" borderId="0" xfId="10" applyFont="1">
      <alignment vertical="center"/>
    </xf>
    <xf numFmtId="177" fontId="33" fillId="0" borderId="49" xfId="1" applyNumberFormat="1" applyFont="1" applyBorder="1" applyAlignment="1">
      <alignment horizontal="right" vertical="center"/>
    </xf>
    <xf numFmtId="176" fontId="33" fillId="0" borderId="60" xfId="0" applyNumberFormat="1" applyFont="1" applyBorder="1" applyAlignment="1">
      <alignment horizontal="right" vertical="center"/>
    </xf>
    <xf numFmtId="0" fontId="27" fillId="0" borderId="51" xfId="0" applyFont="1" applyFill="1" applyBorder="1">
      <alignment vertical="center"/>
    </xf>
    <xf numFmtId="0" fontId="27" fillId="0" borderId="50" xfId="0" applyFont="1" applyFill="1" applyBorder="1" applyAlignment="1">
      <alignment horizontal="left" vertical="center" indent="1"/>
    </xf>
    <xf numFmtId="49" fontId="27" fillId="0" borderId="50" xfId="0" applyNumberFormat="1" applyFont="1" applyFill="1" applyBorder="1" applyAlignment="1">
      <alignment horizontal="left" vertical="center" indent="1"/>
    </xf>
    <xf numFmtId="179" fontId="27" fillId="0" borderId="50" xfId="0" applyNumberFormat="1" applyFont="1" applyBorder="1">
      <alignment vertical="center"/>
    </xf>
    <xf numFmtId="182" fontId="27" fillId="0" borderId="50" xfId="0" applyNumberFormat="1" applyFont="1" applyBorder="1">
      <alignment vertical="center"/>
    </xf>
    <xf numFmtId="182" fontId="27" fillId="0" borderId="50" xfId="0" applyNumberFormat="1" applyFont="1" applyBorder="1" applyAlignment="1">
      <alignment vertical="center"/>
    </xf>
    <xf numFmtId="41" fontId="27" fillId="0" borderId="50" xfId="0" applyNumberFormat="1" applyFont="1" applyBorder="1">
      <alignment vertical="center"/>
    </xf>
    <xf numFmtId="41" fontId="33" fillId="0" borderId="0" xfId="1" applyFont="1">
      <alignment vertical="center"/>
    </xf>
    <xf numFmtId="41" fontId="33" fillId="0" borderId="0" xfId="1" applyFont="1" applyAlignment="1">
      <alignment horizontal="center" vertical="center"/>
    </xf>
    <xf numFmtId="181" fontId="31" fillId="0" borderId="0" xfId="0" applyNumberFormat="1" applyFont="1" applyFill="1" applyBorder="1" applyAlignment="1">
      <alignment vertical="center" shrinkToFit="1"/>
    </xf>
    <xf numFmtId="49" fontId="69" fillId="0" borderId="0" xfId="0" applyNumberFormat="1" applyFont="1" applyFill="1" applyBorder="1">
      <alignment vertical="center"/>
    </xf>
    <xf numFmtId="41" fontId="69" fillId="0" borderId="0" xfId="1" applyFont="1" applyBorder="1">
      <alignment vertical="center"/>
    </xf>
    <xf numFmtId="0" fontId="69" fillId="0" borderId="0" xfId="0" applyFont="1" applyBorder="1">
      <alignment vertical="center"/>
    </xf>
    <xf numFmtId="0" fontId="69" fillId="0" borderId="0" xfId="0" applyFont="1">
      <alignment vertical="center"/>
    </xf>
    <xf numFmtId="41" fontId="70" fillId="0" borderId="0" xfId="1" applyFont="1">
      <alignment vertical="center"/>
    </xf>
    <xf numFmtId="197" fontId="27" fillId="0" borderId="0" xfId="0" applyNumberFormat="1" applyFont="1" applyBorder="1">
      <alignment vertical="center"/>
    </xf>
    <xf numFmtId="0" fontId="27" fillId="0" borderId="61" xfId="0" applyFont="1" applyBorder="1" applyAlignment="1">
      <alignment vertical="center"/>
    </xf>
    <xf numFmtId="41" fontId="36" fillId="0" borderId="0" xfId="1" applyFont="1">
      <alignment vertical="center"/>
    </xf>
    <xf numFmtId="178" fontId="27" fillId="0" borderId="0" xfId="0" applyNumberFormat="1" applyFont="1" applyBorder="1" applyAlignment="1">
      <alignment horizontal="right" vertical="center"/>
    </xf>
    <xf numFmtId="0" fontId="33" fillId="9" borderId="50" xfId="0" applyFont="1" applyFill="1" applyBorder="1" applyAlignment="1">
      <alignment vertical="center"/>
    </xf>
    <xf numFmtId="178" fontId="27" fillId="0" borderId="0" xfId="0" applyNumberFormat="1" applyFont="1" applyFill="1" applyBorder="1" applyAlignment="1">
      <alignment horizontal="left" vertical="center" wrapText="1" indent="1"/>
    </xf>
    <xf numFmtId="177" fontId="31" fillId="0" borderId="0" xfId="1" applyNumberFormat="1" applyFont="1" applyBorder="1" applyAlignment="1">
      <alignment vertical="center" wrapText="1"/>
    </xf>
    <xf numFmtId="0" fontId="27" fillId="0" borderId="49" xfId="0" applyFont="1" applyBorder="1" applyAlignment="1">
      <alignment horizontal="right" vertical="center"/>
    </xf>
    <xf numFmtId="0" fontId="27" fillId="0" borderId="72" xfId="0" applyFont="1" applyBorder="1">
      <alignment vertical="center"/>
    </xf>
    <xf numFmtId="0" fontId="31" fillId="0" borderId="49" xfId="0" applyFont="1" applyBorder="1" applyAlignment="1">
      <alignment horizontal="right" vertical="center"/>
    </xf>
    <xf numFmtId="0" fontId="31" fillId="0" borderId="72" xfId="0" applyFont="1" applyBorder="1">
      <alignment vertical="center"/>
    </xf>
    <xf numFmtId="180" fontId="31" fillId="0" borderId="16" xfId="10" applyNumberFormat="1" applyFont="1" applyFill="1" applyBorder="1" applyAlignment="1" applyProtection="1">
      <alignment vertical="center"/>
    </xf>
    <xf numFmtId="0" fontId="31" fillId="0" borderId="16" xfId="10" applyNumberFormat="1" applyFont="1" applyBorder="1" applyAlignment="1">
      <alignment horizontal="center" vertical="center"/>
    </xf>
    <xf numFmtId="176" fontId="29" fillId="2" borderId="58" xfId="0" applyNumberFormat="1" applyFont="1" applyFill="1" applyBorder="1" applyAlignment="1">
      <alignment horizontal="right" vertical="center"/>
    </xf>
    <xf numFmtId="41" fontId="35" fillId="0" borderId="49" xfId="1" applyFont="1" applyBorder="1" applyAlignment="1">
      <alignment horizontal="right" vertical="center"/>
    </xf>
    <xf numFmtId="41" fontId="27" fillId="0" borderId="0" xfId="1" applyFont="1" applyFill="1" applyBorder="1" applyAlignment="1">
      <alignment vertical="center" wrapText="1"/>
    </xf>
    <xf numFmtId="182" fontId="27" fillId="0" borderId="0" xfId="0" applyNumberFormat="1" applyFont="1" applyFill="1" applyBorder="1">
      <alignment vertical="center"/>
    </xf>
    <xf numFmtId="182" fontId="27" fillId="0" borderId="0" xfId="0" applyNumberFormat="1" applyFont="1" applyFill="1" applyBorder="1" applyAlignment="1">
      <alignment vertical="center"/>
    </xf>
    <xf numFmtId="41" fontId="27" fillId="0" borderId="0" xfId="0" applyNumberFormat="1" applyFont="1" applyFill="1" applyBorder="1">
      <alignment vertical="center"/>
    </xf>
    <xf numFmtId="0" fontId="27" fillId="0" borderId="57" xfId="0" applyFont="1" applyFill="1" applyBorder="1">
      <alignment vertical="center"/>
    </xf>
    <xf numFmtId="41" fontId="33" fillId="0" borderId="0" xfId="1" applyFont="1" applyFill="1" applyBorder="1">
      <alignment vertical="center"/>
    </xf>
    <xf numFmtId="0" fontId="33" fillId="0" borderId="0" xfId="0" applyFont="1" applyFill="1" applyBorder="1" applyAlignment="1">
      <alignment horizontal="center" vertical="center"/>
    </xf>
    <xf numFmtId="0" fontId="33" fillId="0" borderId="68" xfId="0" applyFont="1" applyFill="1" applyBorder="1" applyAlignment="1">
      <alignment horizontal="center" vertical="center"/>
    </xf>
    <xf numFmtId="41" fontId="36" fillId="0" borderId="69" xfId="10" applyNumberFormat="1" applyFont="1" applyBorder="1">
      <alignment vertical="center"/>
    </xf>
    <xf numFmtId="177" fontId="36" fillId="0" borderId="68" xfId="11" applyNumberFormat="1" applyFont="1" applyBorder="1" applyAlignment="1">
      <alignment horizontal="right" vertical="center"/>
    </xf>
    <xf numFmtId="176" fontId="27" fillId="0" borderId="0" xfId="0" applyNumberFormat="1" applyFont="1" applyBorder="1">
      <alignment vertical="center"/>
    </xf>
    <xf numFmtId="176" fontId="29" fillId="2" borderId="58" xfId="2" applyNumberFormat="1" applyFont="1" applyFill="1" applyBorder="1" applyAlignment="1">
      <alignment horizontal="right" vertical="center"/>
    </xf>
    <xf numFmtId="41" fontId="31" fillId="0" borderId="0" xfId="0" applyNumberFormat="1" applyFont="1" applyFill="1">
      <alignment vertical="center"/>
    </xf>
    <xf numFmtId="194" fontId="27" fillId="0" borderId="0" xfId="1" applyNumberFormat="1" applyFont="1" applyFill="1" applyBorder="1">
      <alignment vertical="center"/>
    </xf>
    <xf numFmtId="41" fontId="27" fillId="0" borderId="16" xfId="1" applyFont="1" applyFill="1" applyBorder="1" applyAlignment="1">
      <alignment vertical="center" wrapText="1"/>
    </xf>
    <xf numFmtId="182" fontId="27" fillId="0" borderId="16" xfId="0" applyNumberFormat="1" applyFont="1" applyFill="1" applyBorder="1">
      <alignment vertical="center"/>
    </xf>
    <xf numFmtId="182" fontId="27" fillId="0" borderId="16" xfId="0" applyNumberFormat="1" applyFont="1" applyFill="1" applyBorder="1" applyAlignment="1">
      <alignment vertical="center"/>
    </xf>
    <xf numFmtId="0" fontId="27" fillId="0" borderId="16" xfId="0" applyFont="1" applyFill="1" applyBorder="1" applyAlignment="1">
      <alignment horizontal="center" vertical="center"/>
    </xf>
    <xf numFmtId="41" fontId="27" fillId="0" borderId="16" xfId="0" applyNumberFormat="1" applyFont="1" applyFill="1" applyBorder="1">
      <alignment vertical="center"/>
    </xf>
    <xf numFmtId="41" fontId="37" fillId="0" borderId="0" xfId="1" applyFont="1" applyBorder="1">
      <alignment vertical="center"/>
    </xf>
    <xf numFmtId="41" fontId="27" fillId="0" borderId="0" xfId="1" applyFont="1" applyBorder="1" applyAlignment="1">
      <alignment horizontal="center" vertical="center"/>
    </xf>
    <xf numFmtId="197" fontId="27" fillId="0" borderId="16" xfId="0" applyNumberFormat="1" applyFont="1" applyBorder="1">
      <alignment vertical="center"/>
    </xf>
    <xf numFmtId="9" fontId="27" fillId="0" borderId="0" xfId="0" applyNumberFormat="1" applyFont="1">
      <alignment vertical="center"/>
    </xf>
    <xf numFmtId="180" fontId="27" fillId="0" borderId="0" xfId="0" applyNumberFormat="1" applyFont="1" applyFill="1" applyBorder="1">
      <alignment vertical="center"/>
    </xf>
    <xf numFmtId="3" fontId="27" fillId="0" borderId="0" xfId="1" applyNumberFormat="1" applyFont="1" applyFill="1" applyBorder="1">
      <alignment vertical="center"/>
    </xf>
    <xf numFmtId="0" fontId="27" fillId="0" borderId="50" xfId="0" applyFont="1" applyFill="1" applyBorder="1">
      <alignment vertical="center"/>
    </xf>
    <xf numFmtId="49" fontId="27" fillId="0" borderId="50" xfId="0" applyNumberFormat="1" applyFont="1" applyFill="1" applyBorder="1">
      <alignment vertical="center"/>
    </xf>
    <xf numFmtId="0" fontId="27" fillId="0" borderId="50" xfId="0" applyFont="1" applyBorder="1" applyAlignment="1">
      <alignment vertical="center"/>
    </xf>
    <xf numFmtId="198" fontId="31" fillId="0" borderId="0" xfId="0" applyNumberFormat="1" applyFont="1" applyFill="1" applyBorder="1">
      <alignment vertical="center"/>
    </xf>
    <xf numFmtId="200" fontId="31" fillId="0" borderId="0" xfId="0" applyNumberFormat="1" applyFont="1" applyFill="1" applyBorder="1">
      <alignment vertical="center"/>
    </xf>
    <xf numFmtId="0" fontId="28" fillId="0" borderId="118" xfId="0" applyFont="1" applyBorder="1">
      <alignment vertical="center"/>
    </xf>
    <xf numFmtId="0" fontId="28" fillId="0" borderId="48" xfId="0" applyFont="1" applyFill="1" applyBorder="1">
      <alignment vertical="center"/>
    </xf>
    <xf numFmtId="41" fontId="28" fillId="0" borderId="48" xfId="1" applyFont="1" applyBorder="1" applyAlignment="1">
      <alignment horizontal="right" vertical="center"/>
    </xf>
    <xf numFmtId="0" fontId="28" fillId="0" borderId="58" xfId="0" applyFont="1" applyBorder="1" applyAlignment="1">
      <alignment horizontal="right" vertical="center"/>
    </xf>
    <xf numFmtId="198" fontId="31" fillId="9" borderId="50" xfId="0" applyNumberFormat="1" applyFont="1" applyFill="1" applyBorder="1">
      <alignment vertical="center"/>
    </xf>
    <xf numFmtId="182" fontId="31" fillId="9" borderId="50" xfId="0" applyNumberFormat="1" applyFont="1" applyFill="1" applyBorder="1">
      <alignment vertical="center"/>
    </xf>
    <xf numFmtId="182" fontId="31" fillId="9" borderId="50" xfId="0" applyNumberFormat="1" applyFont="1" applyFill="1" applyBorder="1" applyAlignment="1">
      <alignment vertical="center"/>
    </xf>
    <xf numFmtId="41" fontId="31" fillId="9" borderId="50" xfId="0" applyNumberFormat="1" applyFont="1" applyFill="1" applyBorder="1">
      <alignment vertical="center"/>
    </xf>
    <xf numFmtId="0" fontId="27" fillId="0" borderId="64" xfId="0" applyFont="1" applyFill="1" applyBorder="1">
      <alignment vertical="center"/>
    </xf>
    <xf numFmtId="49" fontId="37" fillId="0" borderId="61" xfId="0" applyNumberFormat="1" applyFont="1" applyFill="1" applyBorder="1">
      <alignment vertical="center"/>
    </xf>
    <xf numFmtId="0" fontId="37" fillId="0" borderId="61" xfId="0" applyFont="1" applyBorder="1" applyAlignment="1">
      <alignment vertical="center"/>
    </xf>
    <xf numFmtId="194" fontId="37" fillId="0" borderId="0" xfId="1" applyNumberFormat="1" applyFont="1" applyBorder="1">
      <alignment vertical="center"/>
    </xf>
    <xf numFmtId="176" fontId="33" fillId="0" borderId="62" xfId="1" applyNumberFormat="1" applyFont="1" applyBorder="1" applyAlignment="1">
      <alignment horizontal="right" vertical="center"/>
    </xf>
    <xf numFmtId="49" fontId="37" fillId="0" borderId="0" xfId="0" applyNumberFormat="1" applyFont="1" applyFill="1" applyBorder="1" applyAlignment="1">
      <alignment horizontal="left" vertical="center" wrapText="1" indent="1"/>
    </xf>
    <xf numFmtId="181" fontId="37" fillId="0" borderId="0" xfId="0" applyNumberFormat="1" applyFont="1" applyBorder="1">
      <alignment vertical="center"/>
    </xf>
    <xf numFmtId="0" fontId="37" fillId="0" borderId="0" xfId="0" applyFont="1" applyBorder="1" applyAlignment="1">
      <alignment vertical="center"/>
    </xf>
    <xf numFmtId="184" fontId="71" fillId="0" borderId="0" xfId="0" applyNumberFormat="1" applyFont="1" applyBorder="1">
      <alignment vertical="center"/>
    </xf>
    <xf numFmtId="41" fontId="37" fillId="0" borderId="0" xfId="0" applyNumberFormat="1" applyFont="1" applyBorder="1">
      <alignment vertical="center"/>
    </xf>
    <xf numFmtId="181" fontId="27" fillId="10" borderId="0" xfId="0" applyNumberFormat="1" applyFont="1" applyFill="1" applyBorder="1">
      <alignment vertical="center"/>
    </xf>
    <xf numFmtId="188" fontId="27" fillId="0" borderId="16" xfId="0" applyNumberFormat="1" applyFont="1" applyBorder="1">
      <alignment vertical="center"/>
    </xf>
    <xf numFmtId="179" fontId="27" fillId="0" borderId="0" xfId="0" applyNumberFormat="1" applyFont="1" applyFill="1" applyBorder="1">
      <alignment vertical="center"/>
    </xf>
    <xf numFmtId="176" fontId="27" fillId="0" borderId="0" xfId="0" applyNumberFormat="1" applyFont="1" applyFill="1" applyBorder="1">
      <alignment vertical="center"/>
    </xf>
    <xf numFmtId="0" fontId="31" fillId="0" borderId="0" xfId="0" applyNumberFormat="1" applyFont="1" applyFill="1" applyBorder="1">
      <alignment vertical="center"/>
    </xf>
    <xf numFmtId="195" fontId="31" fillId="0" borderId="0" xfId="0" applyNumberFormat="1" applyFont="1" applyFill="1" applyBorder="1">
      <alignment vertical="center"/>
    </xf>
    <xf numFmtId="198" fontId="31" fillId="0" borderId="16" xfId="0" applyNumberFormat="1" applyFont="1" applyFill="1" applyBorder="1">
      <alignment vertical="center"/>
    </xf>
    <xf numFmtId="41" fontId="36" fillId="0" borderId="61" xfId="11" applyNumberFormat="1" applyFont="1" applyFill="1" applyBorder="1">
      <alignment vertical="center"/>
    </xf>
    <xf numFmtId="0" fontId="36" fillId="0" borderId="61" xfId="10" applyNumberFormat="1" applyFont="1" applyFill="1" applyBorder="1" applyAlignment="1">
      <alignment vertical="center"/>
    </xf>
    <xf numFmtId="0" fontId="36" fillId="0" borderId="61" xfId="10" applyNumberFormat="1" applyFont="1" applyFill="1" applyBorder="1" applyAlignment="1">
      <alignment horizontal="center" vertical="center"/>
    </xf>
    <xf numFmtId="179" fontId="36" fillId="0" borderId="0" xfId="10" applyNumberFormat="1" applyFont="1" applyFill="1" applyBorder="1">
      <alignment vertical="center"/>
    </xf>
    <xf numFmtId="182" fontId="36" fillId="0" borderId="0" xfId="10" applyNumberFormat="1" applyFont="1" applyFill="1" applyBorder="1" applyAlignment="1">
      <alignment vertical="center"/>
    </xf>
    <xf numFmtId="182" fontId="36" fillId="0" borderId="0" xfId="10" applyNumberFormat="1" applyFont="1" applyFill="1" applyBorder="1">
      <alignment vertical="center"/>
    </xf>
    <xf numFmtId="41" fontId="36" fillId="0" borderId="0" xfId="10" applyNumberFormat="1" applyFont="1" applyFill="1" applyBorder="1">
      <alignment vertical="center"/>
    </xf>
    <xf numFmtId="194" fontId="36" fillId="0" borderId="0" xfId="1" applyNumberFormat="1" applyFont="1" applyFill="1" applyBorder="1">
      <alignment vertical="center"/>
    </xf>
    <xf numFmtId="0" fontId="36" fillId="0" borderId="76" xfId="10" applyNumberFormat="1" applyFont="1" applyFill="1" applyBorder="1">
      <alignment vertical="center"/>
    </xf>
    <xf numFmtId="0" fontId="36" fillId="0" borderId="28" xfId="10" applyNumberFormat="1" applyFont="1" applyBorder="1" applyAlignment="1">
      <alignment horizontal="left" vertical="center" indent="1"/>
    </xf>
    <xf numFmtId="49" fontId="27" fillId="0" borderId="28" xfId="0" applyNumberFormat="1" applyFont="1" applyFill="1" applyBorder="1" applyAlignment="1">
      <alignment horizontal="left" vertical="center" indent="1"/>
    </xf>
    <xf numFmtId="41" fontId="36" fillId="0" borderId="28" xfId="11" applyNumberFormat="1" applyFont="1" applyFill="1" applyBorder="1" applyAlignment="1">
      <alignment vertical="center" wrapText="1"/>
    </xf>
    <xf numFmtId="179" fontId="36" fillId="0" borderId="28" xfId="10" applyNumberFormat="1" applyFont="1" applyFill="1" applyBorder="1">
      <alignment vertical="center"/>
    </xf>
    <xf numFmtId="182" fontId="36" fillId="0" borderId="28" xfId="10" applyNumberFormat="1" applyFont="1" applyFill="1" applyBorder="1" applyAlignment="1">
      <alignment vertical="center"/>
    </xf>
    <xf numFmtId="182" fontId="36" fillId="0" borderId="28" xfId="10" applyNumberFormat="1" applyFont="1" applyFill="1" applyBorder="1">
      <alignment vertical="center"/>
    </xf>
    <xf numFmtId="0" fontId="36" fillId="0" borderId="28" xfId="10" applyNumberFormat="1" applyFont="1" applyFill="1" applyBorder="1" applyAlignment="1">
      <alignment horizontal="center" vertical="center"/>
    </xf>
    <xf numFmtId="41" fontId="36" fillId="0" borderId="28" xfId="10" applyNumberFormat="1" applyFont="1" applyFill="1" applyBorder="1">
      <alignment vertical="center"/>
    </xf>
    <xf numFmtId="0" fontId="36" fillId="0" borderId="0" xfId="10" applyFont="1">
      <alignment vertical="center"/>
    </xf>
    <xf numFmtId="199" fontId="27" fillId="0" borderId="0" xfId="0" applyNumberFormat="1" applyFont="1">
      <alignment vertical="center"/>
    </xf>
    <xf numFmtId="0" fontId="29" fillId="2" borderId="29" xfId="0" applyFont="1" applyFill="1" applyBorder="1" applyAlignment="1">
      <alignment vertical="center"/>
    </xf>
    <xf numFmtId="0" fontId="29" fillId="2" borderId="30" xfId="0" applyFont="1" applyFill="1" applyBorder="1" applyAlignment="1">
      <alignment vertical="center"/>
    </xf>
    <xf numFmtId="177" fontId="31" fillId="11" borderId="0" xfId="0" applyNumberFormat="1" applyFont="1" applyFill="1">
      <alignment vertical="center"/>
    </xf>
    <xf numFmtId="180" fontId="27" fillId="0" borderId="0" xfId="0" applyNumberFormat="1" applyFont="1" applyBorder="1" applyAlignment="1">
      <alignment horizontal="right" vertical="center"/>
    </xf>
    <xf numFmtId="0" fontId="30" fillId="2" borderId="64" xfId="0" applyFont="1" applyFill="1" applyBorder="1">
      <alignment vertical="center"/>
    </xf>
    <xf numFmtId="0" fontId="29" fillId="2" borderId="64" xfId="0" applyFont="1" applyFill="1" applyBorder="1">
      <alignment vertical="center"/>
    </xf>
    <xf numFmtId="0" fontId="29" fillId="2" borderId="61" xfId="0" applyFont="1" applyFill="1" applyBorder="1">
      <alignment vertical="center"/>
    </xf>
    <xf numFmtId="41" fontId="29" fillId="2" borderId="61" xfId="1" applyFont="1" applyFill="1" applyBorder="1">
      <alignment vertical="center"/>
    </xf>
    <xf numFmtId="0" fontId="29" fillId="2" borderId="61" xfId="0" applyFont="1" applyFill="1" applyBorder="1" applyAlignment="1">
      <alignment vertical="center"/>
    </xf>
    <xf numFmtId="0" fontId="29" fillId="2" borderId="61" xfId="0" applyFont="1" applyFill="1" applyBorder="1" applyAlignment="1">
      <alignment horizontal="center" vertical="center"/>
    </xf>
    <xf numFmtId="177" fontId="29" fillId="2" borderId="53" xfId="1" applyNumberFormat="1" applyFont="1" applyFill="1" applyBorder="1" applyAlignment="1">
      <alignment horizontal="right" vertical="center"/>
    </xf>
    <xf numFmtId="176" fontId="29" fillId="2" borderId="62" xfId="2" applyNumberFormat="1" applyFont="1" applyFill="1" applyBorder="1" applyAlignment="1">
      <alignment horizontal="right" vertical="center"/>
    </xf>
    <xf numFmtId="0" fontId="27" fillId="0" borderId="0" xfId="0" applyFont="1" applyBorder="1" applyAlignment="1">
      <alignment horizontal="left" vertical="center" indent="1"/>
    </xf>
    <xf numFmtId="0" fontId="37" fillId="0" borderId="46" xfId="0" applyFont="1" applyFill="1" applyBorder="1">
      <alignment vertical="center"/>
    </xf>
    <xf numFmtId="0" fontId="37" fillId="0" borderId="47" xfId="0" applyFont="1" applyFill="1" applyBorder="1">
      <alignment vertical="center"/>
    </xf>
    <xf numFmtId="177" fontId="33" fillId="10" borderId="48" xfId="1" applyNumberFormat="1" applyFont="1" applyFill="1" applyBorder="1" applyAlignment="1">
      <alignment horizontal="right" vertical="center"/>
    </xf>
    <xf numFmtId="0" fontId="33" fillId="0" borderId="69" xfId="0" applyFont="1" applyBorder="1">
      <alignment vertical="center"/>
    </xf>
    <xf numFmtId="0" fontId="27" fillId="0" borderId="16" xfId="0" applyFont="1" applyBorder="1" applyAlignment="1">
      <alignment horizontal="left" vertical="center" indent="1"/>
    </xf>
    <xf numFmtId="188" fontId="27" fillId="0" borderId="0" xfId="0" applyNumberFormat="1" applyFont="1" applyBorder="1">
      <alignment vertical="center"/>
    </xf>
    <xf numFmtId="197" fontId="31" fillId="0" borderId="0" xfId="0" applyNumberFormat="1" applyFont="1" applyFill="1" applyBorder="1">
      <alignment vertical="center"/>
    </xf>
    <xf numFmtId="41" fontId="31" fillId="0" borderId="16" xfId="1" applyFont="1" applyFill="1" applyBorder="1">
      <alignment vertical="center"/>
    </xf>
    <xf numFmtId="197" fontId="31" fillId="0" borderId="16" xfId="0" applyNumberFormat="1" applyFont="1" applyFill="1" applyBorder="1">
      <alignment vertical="center"/>
    </xf>
    <xf numFmtId="0" fontId="73" fillId="9" borderId="50" xfId="0" applyFont="1" applyFill="1" applyBorder="1">
      <alignment vertical="center"/>
    </xf>
    <xf numFmtId="41" fontId="73" fillId="9" borderId="50" xfId="1" applyFont="1" applyFill="1" applyBorder="1">
      <alignment vertical="center"/>
    </xf>
    <xf numFmtId="0" fontId="73" fillId="9" borderId="50" xfId="0" applyFont="1" applyFill="1" applyBorder="1" applyAlignment="1">
      <alignment vertical="center"/>
    </xf>
    <xf numFmtId="0" fontId="73" fillId="9" borderId="50" xfId="0" applyFont="1" applyFill="1" applyBorder="1" applyAlignment="1">
      <alignment horizontal="center" vertical="center"/>
    </xf>
    <xf numFmtId="178" fontId="73" fillId="9" borderId="50" xfId="0" applyNumberFormat="1" applyFont="1" applyFill="1" applyBorder="1">
      <alignment vertical="center"/>
    </xf>
    <xf numFmtId="177" fontId="27" fillId="9" borderId="52" xfId="1" applyNumberFormat="1" applyFont="1" applyFill="1" applyBorder="1" applyAlignment="1">
      <alignment horizontal="right" vertical="center"/>
    </xf>
    <xf numFmtId="176" fontId="27" fillId="9" borderId="59" xfId="2" applyNumberFormat="1" applyFont="1" applyFill="1" applyBorder="1" applyAlignment="1">
      <alignment horizontal="right" vertical="center"/>
    </xf>
    <xf numFmtId="0" fontId="27" fillId="0" borderId="0" xfId="0" applyFont="1" applyBorder="1" applyAlignment="1">
      <alignment horizontal="left" vertical="center" wrapText="1"/>
    </xf>
    <xf numFmtId="0" fontId="55" fillId="0" borderId="46" xfId="14" applyFont="1" applyBorder="1">
      <alignment vertical="center"/>
    </xf>
    <xf numFmtId="178" fontId="27" fillId="9" borderId="50" xfId="0" applyNumberFormat="1" applyFont="1" applyFill="1" applyBorder="1">
      <alignment vertical="center"/>
    </xf>
    <xf numFmtId="0" fontId="27" fillId="0" borderId="0" xfId="0" applyFont="1" applyFill="1" applyBorder="1" applyAlignment="1">
      <alignment vertical="center" wrapText="1"/>
    </xf>
    <xf numFmtId="196" fontId="27" fillId="0" borderId="0" xfId="0" applyNumberFormat="1" applyFont="1" applyBorder="1">
      <alignment vertical="center"/>
    </xf>
    <xf numFmtId="178" fontId="27" fillId="0" borderId="68" xfId="0" applyNumberFormat="1" applyFont="1" applyFill="1" applyBorder="1">
      <alignment vertical="center"/>
    </xf>
    <xf numFmtId="41" fontId="27" fillId="9" borderId="50" xfId="1" applyFont="1" applyFill="1" applyBorder="1" applyAlignment="1">
      <alignment vertical="center" wrapText="1"/>
    </xf>
    <xf numFmtId="182" fontId="27" fillId="9" borderId="50" xfId="0" applyNumberFormat="1" applyFont="1" applyFill="1" applyBorder="1">
      <alignment vertical="center"/>
    </xf>
    <xf numFmtId="179" fontId="27" fillId="9" borderId="50" xfId="0" applyNumberFormat="1" applyFont="1" applyFill="1" applyBorder="1">
      <alignment vertical="center"/>
    </xf>
    <xf numFmtId="182" fontId="27" fillId="9" borderId="50" xfId="0" applyNumberFormat="1" applyFont="1" applyFill="1" applyBorder="1" applyAlignment="1">
      <alignment vertical="center"/>
    </xf>
    <xf numFmtId="41" fontId="30" fillId="2" borderId="16" xfId="1" applyFont="1" applyFill="1" applyBorder="1" applyAlignment="1">
      <alignment vertical="center" wrapText="1"/>
    </xf>
    <xf numFmtId="0" fontId="30" fillId="2" borderId="16" xfId="0" applyFont="1" applyFill="1" applyBorder="1">
      <alignment vertical="center"/>
    </xf>
    <xf numFmtId="182" fontId="30" fillId="2" borderId="16" xfId="0" applyNumberFormat="1" applyFont="1" applyFill="1" applyBorder="1">
      <alignment vertical="center"/>
    </xf>
    <xf numFmtId="179" fontId="30" fillId="2" borderId="16" xfId="0" applyNumberFormat="1" applyFont="1" applyFill="1" applyBorder="1">
      <alignment vertical="center"/>
    </xf>
    <xf numFmtId="182" fontId="30" fillId="2" borderId="16" xfId="0" applyNumberFormat="1" applyFont="1" applyFill="1" applyBorder="1" applyAlignment="1">
      <alignment vertical="center"/>
    </xf>
    <xf numFmtId="0" fontId="30" fillId="2" borderId="16" xfId="0" applyFont="1" applyFill="1" applyBorder="1" applyAlignment="1">
      <alignment horizontal="center" vertical="center"/>
    </xf>
    <xf numFmtId="41" fontId="30" fillId="2" borderId="16" xfId="0" applyNumberFormat="1" applyFont="1" applyFill="1" applyBorder="1">
      <alignment vertical="center"/>
    </xf>
    <xf numFmtId="0" fontId="27" fillId="0" borderId="53" xfId="0" applyFont="1" applyBorder="1" applyAlignment="1">
      <alignment horizontal="left" vertical="center" wrapText="1" indent="1"/>
    </xf>
    <xf numFmtId="0" fontId="27" fillId="0" borderId="62" xfId="0" applyFont="1" applyBorder="1" applyAlignment="1">
      <alignment horizontal="left" vertical="center" wrapText="1" indent="1"/>
    </xf>
    <xf numFmtId="179" fontId="27" fillId="0" borderId="28" xfId="0" applyNumberFormat="1" applyFont="1" applyBorder="1">
      <alignment vertical="center"/>
    </xf>
    <xf numFmtId="182" fontId="27" fillId="0" borderId="28" xfId="0" applyNumberFormat="1" applyFont="1" applyBorder="1" applyAlignment="1">
      <alignment vertical="center"/>
    </xf>
    <xf numFmtId="178" fontId="33" fillId="0" borderId="0" xfId="0" applyNumberFormat="1" applyFont="1">
      <alignment vertical="center"/>
    </xf>
    <xf numFmtId="181" fontId="27" fillId="0" borderId="0" xfId="0" applyNumberFormat="1" applyFont="1" applyBorder="1" applyAlignment="1">
      <alignment horizontal="center" vertical="center"/>
    </xf>
    <xf numFmtId="177" fontId="27" fillId="0" borderId="0" xfId="0" applyNumberFormat="1" applyFont="1" applyBorder="1" applyAlignment="1">
      <alignment horizontal="center" vertical="center"/>
    </xf>
    <xf numFmtId="41" fontId="27" fillId="0" borderId="0" xfId="0" applyNumberFormat="1" applyFont="1" applyBorder="1" applyAlignment="1">
      <alignment horizontal="center" vertical="center"/>
    </xf>
    <xf numFmtId="209" fontId="27" fillId="0" borderId="0" xfId="0" applyNumberFormat="1" applyFont="1" applyFill="1" applyBorder="1">
      <alignment vertical="center"/>
    </xf>
    <xf numFmtId="1" fontId="27" fillId="0" borderId="0" xfId="0" applyNumberFormat="1" applyFont="1" applyBorder="1">
      <alignment vertical="center"/>
    </xf>
    <xf numFmtId="208" fontId="27" fillId="0" borderId="0" xfId="0" applyNumberFormat="1" applyFont="1" applyBorder="1">
      <alignment vertical="center"/>
    </xf>
    <xf numFmtId="41" fontId="27" fillId="0" borderId="68" xfId="0" applyNumberFormat="1" applyFont="1" applyFill="1" applyBorder="1">
      <alignment vertical="center"/>
    </xf>
    <xf numFmtId="41" fontId="31" fillId="0" borderId="16" xfId="6" applyFont="1" applyFill="1" applyBorder="1" applyAlignment="1">
      <alignment horizontal="right" vertical="center" shrinkToFit="1"/>
    </xf>
    <xf numFmtId="208" fontId="27" fillId="0" borderId="16" xfId="0" applyNumberFormat="1" applyFont="1" applyBorder="1">
      <alignment vertical="center"/>
    </xf>
    <xf numFmtId="207" fontId="31" fillId="0" borderId="0" xfId="15" applyNumberFormat="1" applyFont="1" applyFill="1" applyBorder="1" applyAlignment="1">
      <alignment horizontal="center" vertical="center" shrinkToFit="1"/>
    </xf>
    <xf numFmtId="9" fontId="27" fillId="0" borderId="16" xfId="0" applyNumberFormat="1" applyFont="1" applyBorder="1">
      <alignment vertical="center"/>
    </xf>
    <xf numFmtId="207" fontId="31" fillId="0" borderId="16" xfId="15" applyNumberFormat="1" applyFont="1" applyFill="1" applyBorder="1" applyAlignment="1">
      <alignment horizontal="center" vertical="center" shrinkToFit="1"/>
    </xf>
    <xf numFmtId="41" fontId="27" fillId="0" borderId="16" xfId="1" applyFont="1" applyFill="1" applyBorder="1">
      <alignment vertical="center"/>
    </xf>
    <xf numFmtId="41" fontId="27" fillId="0" borderId="69" xfId="0" applyNumberFormat="1" applyFont="1" applyFill="1" applyBorder="1">
      <alignment vertical="center"/>
    </xf>
    <xf numFmtId="41" fontId="27" fillId="10" borderId="16" xfId="0" applyNumberFormat="1" applyFont="1" applyFill="1" applyBorder="1">
      <alignment vertical="center"/>
    </xf>
    <xf numFmtId="41" fontId="27" fillId="10" borderId="68" xfId="0" applyNumberFormat="1" applyFont="1" applyFill="1" applyBorder="1">
      <alignment vertical="center"/>
    </xf>
    <xf numFmtId="177" fontId="27" fillId="0" borderId="49" xfId="1" applyNumberFormat="1" applyFont="1" applyFill="1" applyBorder="1" applyAlignment="1">
      <alignment horizontal="right" vertical="center"/>
    </xf>
    <xf numFmtId="206" fontId="34" fillId="0" borderId="0" xfId="0" applyNumberFormat="1" applyFont="1" applyBorder="1">
      <alignment vertical="center"/>
    </xf>
    <xf numFmtId="183" fontId="27" fillId="0" borderId="16" xfId="1" applyNumberFormat="1" applyFont="1" applyBorder="1" applyAlignment="1">
      <alignment vertical="center" wrapText="1"/>
    </xf>
    <xf numFmtId="206" fontId="34" fillId="0" borderId="16" xfId="0" applyNumberFormat="1" applyFont="1" applyBorder="1">
      <alignment vertical="center"/>
    </xf>
    <xf numFmtId="177" fontId="37" fillId="0" borderId="49" xfId="1" applyNumberFormat="1" applyFont="1" applyBorder="1" applyAlignment="1">
      <alignment horizontal="right" vertical="center"/>
    </xf>
    <xf numFmtId="41" fontId="37" fillId="0" borderId="49" xfId="1" applyFont="1" applyBorder="1" applyAlignment="1">
      <alignment horizontal="right" vertical="center"/>
    </xf>
    <xf numFmtId="0" fontId="37" fillId="0" borderId="60" xfId="0" applyFont="1" applyBorder="1" applyAlignment="1">
      <alignment horizontal="right" vertical="center"/>
    </xf>
    <xf numFmtId="0" fontId="37" fillId="0" borderId="0" xfId="0" applyFont="1">
      <alignment vertical="center"/>
    </xf>
    <xf numFmtId="41" fontId="27" fillId="0" borderId="0" xfId="6" applyFont="1" applyFill="1" applyBorder="1" applyAlignment="1">
      <alignment horizontal="right" vertical="center" shrinkToFit="1"/>
    </xf>
    <xf numFmtId="0" fontId="27" fillId="0" borderId="63" xfId="0" applyFont="1" applyBorder="1">
      <alignment vertical="center"/>
    </xf>
    <xf numFmtId="0" fontId="27" fillId="0" borderId="49" xfId="0" applyFont="1" applyBorder="1">
      <alignment vertical="center"/>
    </xf>
    <xf numFmtId="0" fontId="27" fillId="0" borderId="120" xfId="0" applyFont="1" applyBorder="1">
      <alignment vertical="center"/>
    </xf>
    <xf numFmtId="0" fontId="27" fillId="0" borderId="48" xfId="0" applyFont="1" applyBorder="1">
      <alignment vertical="center"/>
    </xf>
    <xf numFmtId="0" fontId="27" fillId="0" borderId="47" xfId="0" applyFont="1" applyBorder="1">
      <alignment vertical="center"/>
    </xf>
    <xf numFmtId="0" fontId="27" fillId="0" borderId="60" xfId="0" applyFont="1" applyBorder="1">
      <alignment vertical="center"/>
    </xf>
    <xf numFmtId="181" fontId="27" fillId="0" borderId="0" xfId="0" applyNumberFormat="1" applyFont="1" applyFill="1" applyBorder="1">
      <alignment vertical="center"/>
    </xf>
    <xf numFmtId="215" fontId="27" fillId="0" borderId="0" xfId="0" applyNumberFormat="1" applyFont="1" applyFill="1" applyBorder="1" applyAlignment="1">
      <alignment horizontal="center" vertical="center"/>
    </xf>
    <xf numFmtId="192" fontId="27" fillId="0" borderId="0" xfId="0" applyNumberFormat="1" applyFont="1" applyFill="1" applyBorder="1">
      <alignment vertical="center"/>
    </xf>
    <xf numFmtId="0" fontId="27" fillId="0" borderId="68" xfId="0" applyFont="1" applyBorder="1">
      <alignment vertical="center"/>
    </xf>
    <xf numFmtId="214" fontId="27" fillId="0" borderId="0" xfId="0" applyNumberFormat="1" applyFont="1">
      <alignment vertical="center"/>
    </xf>
    <xf numFmtId="179" fontId="36" fillId="0" borderId="0" xfId="10" applyNumberFormat="1" applyFont="1" applyFill="1" applyBorder="1" applyAlignment="1" applyProtection="1">
      <alignment vertical="center"/>
    </xf>
    <xf numFmtId="182" fontId="36" fillId="0" borderId="0" xfId="10" applyNumberFormat="1" applyFont="1" applyFill="1" applyBorder="1" applyAlignment="1" applyProtection="1">
      <alignment vertical="center"/>
    </xf>
    <xf numFmtId="0" fontId="48" fillId="17" borderId="15" xfId="5" applyFont="1" applyFill="1" applyBorder="1" applyAlignment="1">
      <alignment horizontal="center" vertical="center"/>
    </xf>
    <xf numFmtId="41" fontId="48" fillId="17" borderId="15" xfId="7" applyFont="1" applyFill="1" applyBorder="1" applyAlignment="1">
      <alignment horizontal="center" vertical="center"/>
    </xf>
    <xf numFmtId="0" fontId="48" fillId="17" borderId="85" xfId="5" applyFont="1" applyFill="1" applyBorder="1" applyAlignment="1">
      <alignment horizontal="center" vertical="center"/>
    </xf>
    <xf numFmtId="41" fontId="48" fillId="17" borderId="4" xfId="7" applyFont="1" applyFill="1" applyBorder="1" applyAlignment="1">
      <alignment horizontal="center" vertical="center"/>
    </xf>
    <xf numFmtId="0" fontId="48" fillId="17" borderId="4" xfId="5" applyFont="1" applyFill="1" applyBorder="1" applyAlignment="1">
      <alignment horizontal="center" vertical="center"/>
    </xf>
    <xf numFmtId="0" fontId="48" fillId="17" borderId="27" xfId="5" applyFont="1" applyFill="1" applyBorder="1" applyAlignment="1">
      <alignment horizontal="center" vertical="center"/>
    </xf>
    <xf numFmtId="0" fontId="9" fillId="17" borderId="101" xfId="5" applyFont="1" applyFill="1" applyBorder="1" applyAlignment="1">
      <alignment horizontal="center" vertical="center"/>
    </xf>
    <xf numFmtId="41" fontId="9" fillId="17" borderId="101" xfId="7" applyFont="1" applyFill="1" applyBorder="1" applyAlignment="1">
      <alignment horizontal="center" vertical="center"/>
    </xf>
    <xf numFmtId="0" fontId="9" fillId="17" borderId="109" xfId="5" applyFont="1" applyFill="1" applyBorder="1" applyAlignment="1">
      <alignment horizontal="center" vertical="center"/>
    </xf>
    <xf numFmtId="0" fontId="56" fillId="14" borderId="4" xfId="0" applyFont="1" applyFill="1" applyBorder="1" applyAlignment="1">
      <alignment horizontal="center" vertical="center"/>
    </xf>
    <xf numFmtId="0" fontId="56" fillId="14" borderId="106" xfId="0" applyFont="1" applyFill="1" applyBorder="1" applyAlignment="1">
      <alignment horizontal="center" vertical="center"/>
    </xf>
    <xf numFmtId="0" fontId="45" fillId="18" borderId="32" xfId="10" applyNumberFormat="1" applyFont="1" applyFill="1" applyBorder="1" applyAlignment="1">
      <alignment horizontal="center" vertical="center"/>
    </xf>
    <xf numFmtId="0" fontId="45" fillId="18" borderId="35" xfId="10" applyNumberFormat="1" applyFont="1" applyFill="1" applyBorder="1" applyAlignment="1">
      <alignment horizontal="center" vertical="center"/>
    </xf>
    <xf numFmtId="0" fontId="45" fillId="18" borderId="36" xfId="10" applyNumberFormat="1" applyFont="1" applyFill="1" applyBorder="1" applyAlignment="1">
      <alignment horizontal="center" vertical="center"/>
    </xf>
    <xf numFmtId="0" fontId="45" fillId="18" borderId="37" xfId="10" applyNumberFormat="1" applyFont="1" applyFill="1" applyBorder="1" applyAlignment="1">
      <alignment horizontal="center" vertical="center"/>
    </xf>
    <xf numFmtId="0" fontId="28" fillId="18" borderId="65" xfId="0" applyFont="1" applyFill="1" applyBorder="1" applyAlignment="1">
      <alignment horizontal="center" vertical="center"/>
    </xf>
    <xf numFmtId="0" fontId="28" fillId="18" borderId="35" xfId="0" applyFont="1" applyFill="1" applyBorder="1" applyAlignment="1">
      <alignment horizontal="center" vertical="center"/>
    </xf>
    <xf numFmtId="0" fontId="28" fillId="18" borderId="36" xfId="0" applyFont="1" applyFill="1" applyBorder="1" applyAlignment="1">
      <alignment horizontal="center" vertical="center"/>
    </xf>
    <xf numFmtId="0" fontId="28" fillId="18" borderId="37" xfId="0" applyFont="1" applyFill="1" applyBorder="1" applyAlignment="1">
      <alignment horizontal="center" vertical="center"/>
    </xf>
    <xf numFmtId="0" fontId="33" fillId="18" borderId="65" xfId="0" applyFont="1" applyFill="1" applyBorder="1" applyAlignment="1">
      <alignment horizontal="center" vertical="center"/>
    </xf>
    <xf numFmtId="0" fontId="33" fillId="18" borderId="35" xfId="0" applyFont="1" applyFill="1" applyBorder="1" applyAlignment="1">
      <alignment horizontal="center" vertical="center"/>
    </xf>
    <xf numFmtId="0" fontId="33" fillId="18" borderId="36" xfId="0" applyFont="1" applyFill="1" applyBorder="1" applyAlignment="1">
      <alignment horizontal="center" vertical="center"/>
    </xf>
    <xf numFmtId="0" fontId="33" fillId="18" borderId="37" xfId="0" applyFont="1" applyFill="1" applyBorder="1" applyAlignment="1">
      <alignment horizontal="center" vertical="center"/>
    </xf>
    <xf numFmtId="49" fontId="45" fillId="18" borderId="65" xfId="10" applyNumberFormat="1" applyFont="1" applyFill="1" applyBorder="1" applyAlignment="1">
      <alignment horizontal="center" vertical="center"/>
    </xf>
    <xf numFmtId="49" fontId="45" fillId="18" borderId="37" xfId="10" applyNumberFormat="1" applyFont="1" applyFill="1" applyBorder="1" applyAlignment="1">
      <alignment horizontal="center" vertical="center"/>
    </xf>
    <xf numFmtId="0" fontId="75" fillId="2" borderId="86" xfId="1" applyNumberFormat="1" applyFont="1" applyFill="1" applyBorder="1" applyAlignment="1">
      <alignment horizontal="distributed" vertical="center" indent="1"/>
    </xf>
    <xf numFmtId="177" fontId="75" fillId="2" borderId="6" xfId="1" applyNumberFormat="1" applyFont="1" applyFill="1" applyBorder="1" applyAlignment="1">
      <alignment horizontal="right" vertical="center"/>
    </xf>
    <xf numFmtId="176" fontId="75" fillId="2" borderId="6" xfId="1" applyNumberFormat="1" applyFont="1" applyFill="1" applyBorder="1" applyAlignment="1">
      <alignment horizontal="center" vertical="center"/>
    </xf>
    <xf numFmtId="176" fontId="75" fillId="2" borderId="87" xfId="3" applyNumberFormat="1" applyFont="1" applyFill="1" applyBorder="1" applyAlignment="1">
      <alignment horizontal="center" vertical="center"/>
    </xf>
    <xf numFmtId="41" fontId="13" fillId="0" borderId="84" xfId="6" applyFont="1" applyFill="1" applyBorder="1" applyAlignment="1">
      <alignment horizontal="left" vertical="center" indent="1"/>
    </xf>
    <xf numFmtId="41" fontId="9" fillId="12" borderId="114" xfId="6" applyFont="1" applyFill="1" applyBorder="1" applyAlignment="1">
      <alignment horizontal="left" vertical="center"/>
    </xf>
    <xf numFmtId="177" fontId="9" fillId="12" borderId="20" xfId="7" applyNumberFormat="1" applyFont="1" applyFill="1" applyBorder="1" applyAlignment="1">
      <alignment horizontal="right" vertical="center"/>
    </xf>
    <xf numFmtId="176" fontId="9" fillId="12" borderId="20" xfId="3" applyNumberFormat="1" applyFont="1" applyFill="1" applyBorder="1" applyAlignment="1">
      <alignment horizontal="center" vertical="center"/>
    </xf>
    <xf numFmtId="176" fontId="9" fillId="12" borderId="115" xfId="3" applyNumberFormat="1" applyFont="1" applyFill="1" applyBorder="1" applyAlignment="1">
      <alignment horizontal="center" vertical="center"/>
    </xf>
    <xf numFmtId="41" fontId="9" fillId="12" borderId="19" xfId="6" applyFont="1" applyFill="1" applyBorder="1" applyAlignment="1">
      <alignment horizontal="left" vertical="center"/>
    </xf>
    <xf numFmtId="176" fontId="9" fillId="12" borderId="117" xfId="3" applyNumberFormat="1" applyFont="1" applyFill="1" applyBorder="1" applyAlignment="1">
      <alignment horizontal="center" vertical="center"/>
    </xf>
    <xf numFmtId="41" fontId="13" fillId="0" borderId="84" xfId="6" applyFont="1" applyFill="1" applyBorder="1" applyAlignment="1">
      <alignment horizontal="left" vertical="center" indent="2"/>
    </xf>
    <xf numFmtId="41" fontId="13" fillId="0" borderId="15" xfId="7" applyFont="1" applyFill="1" applyBorder="1" applyAlignment="1">
      <alignment horizontal="right" vertical="center"/>
    </xf>
    <xf numFmtId="176" fontId="13" fillId="0" borderId="15" xfId="3" applyNumberFormat="1" applyFont="1" applyFill="1" applyBorder="1" applyAlignment="1">
      <alignment horizontal="center" vertical="center"/>
    </xf>
    <xf numFmtId="176" fontId="13" fillId="0" borderId="126" xfId="4" applyNumberFormat="1" applyFont="1" applyFill="1" applyBorder="1" applyAlignment="1">
      <alignment horizontal="center" vertical="center"/>
    </xf>
    <xf numFmtId="177" fontId="11" fillId="0" borderId="15" xfId="7" applyNumberFormat="1" applyFont="1" applyFill="1" applyBorder="1" applyAlignment="1">
      <alignment horizontal="right" vertical="center"/>
    </xf>
    <xf numFmtId="176" fontId="11" fillId="0" borderId="15" xfId="4" applyNumberFormat="1" applyFont="1" applyFill="1" applyBorder="1" applyAlignment="1">
      <alignment horizontal="center" vertical="center"/>
    </xf>
    <xf numFmtId="176" fontId="11" fillId="0" borderId="20" xfId="4" applyNumberFormat="1" applyFont="1" applyFill="1" applyBorder="1" applyAlignment="1">
      <alignment horizontal="center" vertical="center"/>
    </xf>
    <xf numFmtId="176" fontId="11" fillId="0" borderId="126" xfId="4" applyNumberFormat="1" applyFont="1" applyFill="1" applyBorder="1" applyAlignment="1">
      <alignment horizontal="center" vertical="center"/>
    </xf>
    <xf numFmtId="41" fontId="13" fillId="0" borderId="19" xfId="6" applyFont="1" applyFill="1" applyBorder="1" applyAlignment="1">
      <alignment horizontal="left" vertical="center" indent="1"/>
    </xf>
    <xf numFmtId="176" fontId="11" fillId="0" borderId="85" xfId="4" applyNumberFormat="1" applyFont="1" applyFill="1" applyBorder="1" applyAlignment="1">
      <alignment horizontal="center" vertical="center"/>
    </xf>
    <xf numFmtId="0" fontId="33" fillId="0" borderId="52" xfId="1" applyNumberFormat="1" applyFont="1" applyBorder="1" applyAlignment="1">
      <alignment horizontal="right" vertical="center"/>
    </xf>
    <xf numFmtId="0" fontId="31" fillId="9" borderId="52" xfId="1" applyNumberFormat="1" applyFont="1" applyFill="1" applyBorder="1" applyAlignment="1">
      <alignment horizontal="right" vertical="center"/>
    </xf>
    <xf numFmtId="212" fontId="29" fillId="2" borderId="53" xfId="11" applyNumberFormat="1" applyFont="1" applyFill="1" applyBorder="1" applyAlignment="1">
      <alignment horizontal="right" vertical="center"/>
    </xf>
    <xf numFmtId="212" fontId="31" fillId="9" borderId="52" xfId="1" applyNumberFormat="1" applyFont="1" applyFill="1" applyBorder="1" applyAlignment="1">
      <alignment horizontal="right" vertical="center"/>
    </xf>
    <xf numFmtId="216" fontId="58" fillId="0" borderId="0" xfId="0" applyNumberFormat="1" applyFont="1" applyAlignment="1">
      <alignment horizontal="right" vertical="center"/>
    </xf>
    <xf numFmtId="191" fontId="36" fillId="0" borderId="28" xfId="10" applyNumberFormat="1" applyFont="1" applyBorder="1">
      <alignment vertical="center"/>
    </xf>
    <xf numFmtId="41" fontId="33" fillId="0" borderId="28" xfId="0" applyNumberFormat="1" applyFont="1" applyBorder="1">
      <alignment vertical="center"/>
    </xf>
    <xf numFmtId="210" fontId="27" fillId="0" borderId="0" xfId="1" applyNumberFormat="1" applyFont="1" applyBorder="1" applyAlignment="1">
      <alignment horizontal="right" vertical="center" wrapText="1"/>
    </xf>
    <xf numFmtId="210" fontId="27" fillId="0" borderId="16" xfId="1" applyNumberFormat="1" applyFont="1" applyBorder="1" applyAlignment="1">
      <alignment horizontal="right" vertical="center" wrapText="1"/>
    </xf>
    <xf numFmtId="217" fontId="27" fillId="0" borderId="0" xfId="1" applyNumberFormat="1" applyFont="1" applyBorder="1">
      <alignment vertical="center"/>
    </xf>
    <xf numFmtId="217" fontId="36" fillId="0" borderId="0" xfId="1" applyNumberFormat="1" applyFont="1" applyBorder="1">
      <alignment vertical="center"/>
    </xf>
    <xf numFmtId="176" fontId="48" fillId="3" borderId="6" xfId="4" applyNumberFormat="1" applyFont="1" applyFill="1" applyBorder="1" applyAlignment="1">
      <alignment horizontal="center" vertical="center"/>
    </xf>
    <xf numFmtId="176" fontId="9" fillId="3" borderId="6" xfId="4" applyNumberFormat="1" applyFont="1" applyFill="1" applyBorder="1" applyAlignment="1">
      <alignment horizontal="center" vertical="center"/>
    </xf>
    <xf numFmtId="0" fontId="47" fillId="0" borderId="0" xfId="5" applyFont="1" applyAlignment="1">
      <alignment horizontal="center" vertical="center"/>
    </xf>
    <xf numFmtId="41" fontId="47" fillId="0" borderId="0" xfId="1" applyFont="1" applyBorder="1" applyAlignment="1">
      <alignment horizontal="center" vertical="center"/>
    </xf>
    <xf numFmtId="0" fontId="76" fillId="0" borderId="127" xfId="0" applyFont="1" applyBorder="1" applyAlignment="1">
      <alignment horizontal="right" vertical="center" wrapText="1"/>
    </xf>
    <xf numFmtId="41" fontId="11" fillId="5" borderId="0" xfId="6" applyFont="1" applyFill="1" applyBorder="1" applyAlignment="1">
      <alignment horizontal="center" vertical="center"/>
    </xf>
    <xf numFmtId="0" fontId="11" fillId="5" borderId="0" xfId="5" applyFont="1" applyFill="1" applyBorder="1" applyAlignment="1">
      <alignment horizontal="center" vertical="center"/>
    </xf>
    <xf numFmtId="177" fontId="11" fillId="0" borderId="0" xfId="5" applyNumberFormat="1" applyFont="1" applyBorder="1" applyAlignment="1">
      <alignment horizontal="center" vertical="center"/>
    </xf>
    <xf numFmtId="177" fontId="9" fillId="5" borderId="0" xfId="5" applyNumberFormat="1" applyFont="1" applyFill="1" applyBorder="1" applyAlignment="1">
      <alignment horizontal="center" vertical="center"/>
    </xf>
    <xf numFmtId="176" fontId="11" fillId="0" borderId="0" xfId="2" applyNumberFormat="1" applyFont="1" applyBorder="1" applyAlignment="1">
      <alignment horizontal="center" vertical="center"/>
    </xf>
    <xf numFmtId="177" fontId="9" fillId="0" borderId="0" xfId="5" applyNumberFormat="1" applyFont="1" applyBorder="1" applyAlignment="1">
      <alignment horizontal="center" vertical="center"/>
    </xf>
    <xf numFmtId="176" fontId="9" fillId="0" borderId="0" xfId="2" applyNumberFormat="1" applyFont="1" applyBorder="1" applyAlignment="1">
      <alignment horizontal="center" vertical="center"/>
    </xf>
    <xf numFmtId="0" fontId="9" fillId="5" borderId="0" xfId="5" applyFont="1" applyFill="1" applyBorder="1" applyAlignment="1">
      <alignment horizontal="center" vertical="center"/>
    </xf>
    <xf numFmtId="0" fontId="11" fillId="0" borderId="0" xfId="5" applyFont="1" applyBorder="1" applyAlignment="1">
      <alignment horizontal="right" vertical="center"/>
    </xf>
    <xf numFmtId="177" fontId="11" fillId="0" borderId="0" xfId="5" applyNumberFormat="1" applyFont="1" applyBorder="1" applyAlignment="1">
      <alignment horizontal="right" vertical="center"/>
    </xf>
    <xf numFmtId="176" fontId="11" fillId="0" borderId="0" xfId="2" applyNumberFormat="1" applyFont="1" applyBorder="1" applyAlignment="1">
      <alignment horizontal="right" vertical="center"/>
    </xf>
    <xf numFmtId="177" fontId="9" fillId="0" borderId="0" xfId="5" applyNumberFormat="1" applyFont="1" applyBorder="1" applyAlignment="1">
      <alignment horizontal="right" vertical="center"/>
    </xf>
    <xf numFmtId="176" fontId="9" fillId="0" borderId="0" xfId="2" applyNumberFormat="1" applyFont="1" applyBorder="1" applyAlignment="1">
      <alignment horizontal="right" vertical="center"/>
    </xf>
    <xf numFmtId="177" fontId="9" fillId="5" borderId="0" xfId="5" applyNumberFormat="1" applyFont="1" applyFill="1" applyBorder="1" applyAlignment="1">
      <alignment horizontal="right" vertical="center"/>
    </xf>
    <xf numFmtId="0" fontId="76" fillId="0" borderId="128" xfId="0" applyFont="1" applyBorder="1" applyAlignment="1">
      <alignment horizontal="right" vertical="center" wrapText="1"/>
    </xf>
    <xf numFmtId="41" fontId="9" fillId="0" borderId="52" xfId="6" applyFont="1" applyBorder="1" applyAlignment="1">
      <alignment horizontal="center" vertical="center"/>
    </xf>
    <xf numFmtId="176" fontId="9" fillId="5" borderId="0" xfId="5" applyNumberFormat="1" applyFont="1" applyFill="1" applyBorder="1" applyAlignment="1">
      <alignment horizontal="right" vertical="center"/>
    </xf>
    <xf numFmtId="0" fontId="77" fillId="19" borderId="129" xfId="0" applyFont="1" applyFill="1" applyBorder="1" applyAlignment="1">
      <alignment horizontal="center" vertical="center" wrapText="1"/>
    </xf>
    <xf numFmtId="0" fontId="77" fillId="0" borderId="130" xfId="0" applyFont="1" applyBorder="1" applyAlignment="1">
      <alignment horizontal="center" vertical="center" wrapText="1"/>
    </xf>
    <xf numFmtId="0" fontId="77" fillId="19" borderId="130" xfId="0" applyFont="1" applyFill="1" applyBorder="1" applyAlignment="1">
      <alignment horizontal="center" vertical="center" wrapText="1"/>
    </xf>
    <xf numFmtId="0" fontId="77" fillId="0" borderId="131" xfId="0" applyFont="1" applyBorder="1" applyAlignment="1">
      <alignment horizontal="center" vertical="center" wrapText="1"/>
    </xf>
    <xf numFmtId="177" fontId="5" fillId="0" borderId="0" xfId="5" applyNumberFormat="1" applyFont="1" applyBorder="1" applyAlignment="1">
      <alignment horizontal="center" vertical="center"/>
    </xf>
    <xf numFmtId="176" fontId="33" fillId="9" borderId="59" xfId="0" applyNumberFormat="1" applyFont="1" applyFill="1" applyBorder="1" applyAlignment="1">
      <alignment horizontal="right" vertical="center"/>
    </xf>
    <xf numFmtId="177" fontId="51" fillId="0" borderId="0" xfId="8" applyNumberFormat="1" applyFont="1" applyFill="1" applyAlignment="1"/>
    <xf numFmtId="192" fontId="36" fillId="0" borderId="0" xfId="10" applyNumberFormat="1" applyFont="1" applyBorder="1" applyAlignment="1">
      <alignment vertical="center"/>
    </xf>
    <xf numFmtId="192" fontId="31" fillId="0" borderId="0" xfId="0" applyNumberFormat="1" applyFont="1" applyBorder="1">
      <alignment vertical="center"/>
    </xf>
    <xf numFmtId="177" fontId="28" fillId="0" borderId="0" xfId="0" applyNumberFormat="1" applyFont="1" applyFill="1">
      <alignment vertical="center"/>
    </xf>
    <xf numFmtId="198" fontId="27" fillId="0" borderId="0" xfId="0" applyNumberFormat="1" applyFont="1" applyBorder="1">
      <alignment vertical="center"/>
    </xf>
    <xf numFmtId="192" fontId="27" fillId="0" borderId="0" xfId="0" applyNumberFormat="1" applyFont="1" applyBorder="1">
      <alignment vertical="center"/>
    </xf>
    <xf numFmtId="3" fontId="36" fillId="0" borderId="68" xfId="10" applyNumberFormat="1" applyFont="1" applyBorder="1">
      <alignment vertical="center"/>
    </xf>
    <xf numFmtId="181" fontId="27" fillId="0" borderId="0" xfId="10" applyNumberFormat="1" applyFont="1" applyBorder="1">
      <alignment vertical="center"/>
    </xf>
    <xf numFmtId="41" fontId="27" fillId="0" borderId="0" xfId="11" applyFont="1" applyFill="1" applyBorder="1">
      <alignment vertical="center"/>
    </xf>
    <xf numFmtId="179" fontId="27" fillId="0" borderId="0" xfId="10" applyNumberFormat="1" applyFont="1" applyFill="1" applyBorder="1">
      <alignment vertical="center"/>
    </xf>
    <xf numFmtId="182" fontId="27" fillId="0" borderId="0" xfId="10" applyNumberFormat="1" applyFont="1" applyFill="1" applyBorder="1">
      <alignment vertical="center"/>
    </xf>
    <xf numFmtId="182" fontId="27" fillId="0" borderId="0" xfId="10" applyNumberFormat="1" applyFont="1" applyFill="1" applyBorder="1" applyAlignment="1">
      <alignment vertical="center"/>
    </xf>
    <xf numFmtId="0" fontId="27" fillId="0" borderId="0" xfId="10" applyFont="1" applyFill="1" applyBorder="1" applyAlignment="1">
      <alignment horizontal="center" vertical="center"/>
    </xf>
    <xf numFmtId="178" fontId="27" fillId="0" borderId="0" xfId="10" applyNumberFormat="1" applyFont="1" applyFill="1" applyBorder="1">
      <alignment vertical="center"/>
    </xf>
    <xf numFmtId="3" fontId="36" fillId="0" borderId="0" xfId="10" applyNumberFormat="1" applyFont="1" applyFill="1" applyBorder="1">
      <alignment vertical="center"/>
    </xf>
    <xf numFmtId="0" fontId="27" fillId="0" borderId="0" xfId="10" applyFont="1" applyFill="1" applyBorder="1" applyAlignment="1">
      <alignment vertical="center"/>
    </xf>
    <xf numFmtId="3" fontId="36" fillId="0" borderId="68" xfId="10" applyNumberFormat="1" applyFont="1" applyFill="1" applyBorder="1">
      <alignment vertical="center"/>
    </xf>
    <xf numFmtId="41" fontId="36" fillId="0" borderId="16" xfId="11" applyNumberFormat="1" applyFont="1" applyFill="1" applyBorder="1">
      <alignment vertical="center"/>
    </xf>
    <xf numFmtId="179" fontId="36" fillId="0" borderId="16" xfId="10" applyNumberFormat="1" applyFont="1" applyFill="1" applyBorder="1">
      <alignment vertical="center"/>
    </xf>
    <xf numFmtId="0" fontId="36" fillId="0" borderId="16" xfId="10" applyNumberFormat="1" applyFont="1" applyFill="1" applyBorder="1" applyAlignment="1">
      <alignment vertical="center"/>
    </xf>
    <xf numFmtId="0" fontId="27" fillId="0" borderId="16" xfId="10" applyFont="1" applyFill="1" applyBorder="1" applyAlignment="1">
      <alignment horizontal="center" vertical="center"/>
    </xf>
    <xf numFmtId="3" fontId="36" fillId="0" borderId="16" xfId="10" applyNumberFormat="1" applyFont="1" applyFill="1" applyBorder="1">
      <alignment vertical="center"/>
    </xf>
    <xf numFmtId="181" fontId="27" fillId="0" borderId="0" xfId="10" applyNumberFormat="1" applyFont="1" applyFill="1" applyBorder="1">
      <alignment vertical="center"/>
    </xf>
    <xf numFmtId="41" fontId="27" fillId="0" borderId="16" xfId="11" applyFont="1" applyFill="1" applyBorder="1">
      <alignment vertical="center"/>
    </xf>
    <xf numFmtId="182" fontId="27" fillId="0" borderId="16" xfId="10" applyNumberFormat="1" applyFont="1" applyFill="1" applyBorder="1">
      <alignment vertical="center"/>
    </xf>
    <xf numFmtId="182" fontId="27" fillId="0" borderId="16" xfId="10" applyNumberFormat="1" applyFont="1" applyFill="1" applyBorder="1" applyAlignment="1">
      <alignment vertical="center"/>
    </xf>
    <xf numFmtId="200" fontId="27" fillId="0" borderId="0" xfId="0" applyNumberFormat="1" applyFont="1" applyBorder="1">
      <alignment vertical="center"/>
    </xf>
    <xf numFmtId="218" fontId="27" fillId="0" borderId="0" xfId="0" applyNumberFormat="1" applyFont="1" applyBorder="1">
      <alignment vertical="center"/>
    </xf>
    <xf numFmtId="219" fontId="27" fillId="0" borderId="0" xfId="0" applyNumberFormat="1" applyFont="1" applyBorder="1">
      <alignment vertical="center"/>
    </xf>
    <xf numFmtId="220" fontId="27" fillId="0" borderId="0" xfId="0" applyNumberFormat="1" applyFont="1" applyBorder="1">
      <alignment vertical="center"/>
    </xf>
    <xf numFmtId="49" fontId="33" fillId="14" borderId="0" xfId="0" applyNumberFormat="1" applyFont="1" applyFill="1" applyBorder="1">
      <alignment vertical="center"/>
    </xf>
    <xf numFmtId="41" fontId="33" fillId="14" borderId="0" xfId="1" applyFont="1" applyFill="1" applyBorder="1">
      <alignment vertical="center"/>
    </xf>
    <xf numFmtId="0" fontId="33" fillId="14" borderId="0" xfId="0" applyFont="1" applyFill="1" applyBorder="1">
      <alignment vertical="center"/>
    </xf>
    <xf numFmtId="0" fontId="33" fillId="14" borderId="0" xfId="0" applyFont="1" applyFill="1" applyBorder="1" applyAlignment="1">
      <alignment vertical="center"/>
    </xf>
    <xf numFmtId="0" fontId="33" fillId="14" borderId="0" xfId="0" applyFont="1" applyFill="1" applyBorder="1" applyAlignment="1">
      <alignment horizontal="center" vertical="center"/>
    </xf>
    <xf numFmtId="178" fontId="33" fillId="14" borderId="0" xfId="0" applyNumberFormat="1" applyFont="1" applyFill="1" applyBorder="1">
      <alignment vertical="center"/>
    </xf>
    <xf numFmtId="179" fontId="33" fillId="14" borderId="0" xfId="0" applyNumberFormat="1" applyFont="1" applyFill="1" applyBorder="1">
      <alignment vertical="center"/>
    </xf>
    <xf numFmtId="182" fontId="33" fillId="14" borderId="0" xfId="0" applyNumberFormat="1" applyFont="1" applyFill="1" applyBorder="1">
      <alignment vertical="center"/>
    </xf>
    <xf numFmtId="182" fontId="33" fillId="14" borderId="0" xfId="0" applyNumberFormat="1" applyFont="1" applyFill="1" applyBorder="1" applyAlignment="1">
      <alignment vertical="center"/>
    </xf>
    <xf numFmtId="190" fontId="27" fillId="0" borderId="0" xfId="0" applyNumberFormat="1" applyFont="1" applyBorder="1">
      <alignment vertical="center"/>
    </xf>
    <xf numFmtId="0" fontId="27" fillId="0" borderId="46" xfId="0" applyFont="1" applyFill="1" applyBorder="1" applyAlignment="1">
      <alignment horizontal="left" vertical="center" indent="1"/>
    </xf>
    <xf numFmtId="49" fontId="28" fillId="14" borderId="0" xfId="0" applyNumberFormat="1" applyFont="1" applyFill="1" applyBorder="1" applyAlignment="1">
      <alignment horizontal="left" vertical="center" wrapText="1" indent="1"/>
    </xf>
    <xf numFmtId="41" fontId="28" fillId="14" borderId="0" xfId="1" applyFont="1" applyFill="1" applyBorder="1">
      <alignment vertical="center"/>
    </xf>
    <xf numFmtId="0" fontId="28" fillId="14" borderId="0" xfId="0" applyFont="1" applyFill="1" applyBorder="1">
      <alignment vertical="center"/>
    </xf>
    <xf numFmtId="180" fontId="28" fillId="14" borderId="0" xfId="0" applyNumberFormat="1" applyFont="1" applyFill="1" applyBorder="1">
      <alignment vertical="center"/>
    </xf>
    <xf numFmtId="0" fontId="28" fillId="14" borderId="0" xfId="0" applyFont="1" applyFill="1" applyBorder="1" applyAlignment="1">
      <alignment vertical="center"/>
    </xf>
    <xf numFmtId="0" fontId="28" fillId="14" borderId="0" xfId="0" applyFont="1" applyFill="1" applyBorder="1" applyAlignment="1">
      <alignment horizontal="center" vertical="center"/>
    </xf>
    <xf numFmtId="178" fontId="28" fillId="14" borderId="0" xfId="0" applyNumberFormat="1" applyFont="1" applyFill="1" applyBorder="1">
      <alignment vertical="center"/>
    </xf>
    <xf numFmtId="221" fontId="31" fillId="0" borderId="0" xfId="0" applyNumberFormat="1" applyFont="1" applyBorder="1">
      <alignment vertical="center"/>
    </xf>
    <xf numFmtId="203" fontId="31" fillId="0" borderId="0" xfId="0" applyNumberFormat="1" applyFont="1" applyFill="1" applyBorder="1">
      <alignment vertical="center"/>
    </xf>
    <xf numFmtId="203" fontId="31" fillId="0" borderId="0" xfId="0" applyNumberFormat="1" applyFont="1" applyBorder="1">
      <alignment vertical="center"/>
    </xf>
    <xf numFmtId="194" fontId="36" fillId="0" borderId="67" xfId="1" applyNumberFormat="1" applyFont="1" applyFill="1" applyBorder="1">
      <alignment vertical="center"/>
    </xf>
    <xf numFmtId="43" fontId="27" fillId="0" borderId="0" xfId="10" applyNumberFormat="1" applyFont="1">
      <alignment vertical="center"/>
    </xf>
    <xf numFmtId="196" fontId="27" fillId="0" borderId="0" xfId="10" applyNumberFormat="1" applyFont="1" applyFill="1" applyBorder="1">
      <alignment vertical="center"/>
    </xf>
    <xf numFmtId="222" fontId="27" fillId="0" borderId="0" xfId="0" applyNumberFormat="1" applyFont="1" applyBorder="1">
      <alignment vertical="center"/>
    </xf>
    <xf numFmtId="223" fontId="27" fillId="0" borderId="0" xfId="0" applyNumberFormat="1" applyFont="1" applyBorder="1">
      <alignment vertical="center"/>
    </xf>
    <xf numFmtId="224" fontId="27" fillId="0" borderId="0" xfId="0" applyNumberFormat="1" applyFont="1" applyBorder="1">
      <alignment vertical="center"/>
    </xf>
    <xf numFmtId="0" fontId="74" fillId="0" borderId="0" xfId="0" applyFont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/>
    </xf>
    <xf numFmtId="216" fontId="58" fillId="0" borderId="0" xfId="0" applyNumberFormat="1" applyFont="1" applyAlignment="1">
      <alignment horizontal="right" vertical="center"/>
    </xf>
    <xf numFmtId="0" fontId="58" fillId="0" borderId="0" xfId="0" applyFont="1" applyAlignment="1">
      <alignment horizontal="left" vertical="center"/>
    </xf>
    <xf numFmtId="0" fontId="59" fillId="10" borderId="0" xfId="0" applyFont="1" applyFill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59" fillId="10" borderId="0" xfId="0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41" fillId="0" borderId="0" xfId="0" applyFont="1" applyAlignment="1">
      <alignment horizontal="left" vertical="center" wrapText="1"/>
    </xf>
    <xf numFmtId="0" fontId="6" fillId="0" borderId="0" xfId="5" applyFont="1" applyAlignment="1">
      <alignment horizontal="center" vertical="center"/>
    </xf>
    <xf numFmtId="0" fontId="56" fillId="0" borderId="0" xfId="0" applyFont="1" applyAlignment="1">
      <alignment horizontal="right" vertical="center" indent="1"/>
    </xf>
    <xf numFmtId="0" fontId="56" fillId="14" borderId="79" xfId="0" applyFont="1" applyFill="1" applyBorder="1" applyAlignment="1">
      <alignment horizontal="center" vertical="center"/>
    </xf>
    <xf numFmtId="0" fontId="56" fillId="14" borderId="105" xfId="0" applyFont="1" applyFill="1" applyBorder="1" applyAlignment="1">
      <alignment horizontal="center" vertical="center"/>
    </xf>
    <xf numFmtId="0" fontId="56" fillId="14" borderId="80" xfId="0" applyFont="1" applyFill="1" applyBorder="1" applyAlignment="1">
      <alignment horizontal="center" vertical="center"/>
    </xf>
    <xf numFmtId="0" fontId="56" fillId="14" borderId="81" xfId="0" applyFont="1" applyFill="1" applyBorder="1" applyAlignment="1">
      <alignment horizontal="center" vertical="center"/>
    </xf>
    <xf numFmtId="41" fontId="48" fillId="17" borderId="88" xfId="6" applyFont="1" applyFill="1" applyBorder="1" applyAlignment="1">
      <alignment horizontal="center" vertical="center"/>
    </xf>
    <xf numFmtId="41" fontId="48" fillId="17" borderId="84" xfId="6" applyFont="1" applyFill="1" applyBorder="1" applyAlignment="1">
      <alignment horizontal="center" vertical="center"/>
    </xf>
    <xf numFmtId="0" fontId="48" fillId="17" borderId="9" xfId="5" applyFont="1" applyFill="1" applyBorder="1" applyAlignment="1">
      <alignment horizontal="center" vertical="center"/>
    </xf>
    <xf numFmtId="0" fontId="48" fillId="17" borderId="89" xfId="5" applyFont="1" applyFill="1" applyBorder="1" applyAlignment="1">
      <alignment horizontal="center" vertical="center"/>
    </xf>
    <xf numFmtId="0" fontId="47" fillId="0" borderId="0" xfId="5" applyFont="1" applyAlignment="1">
      <alignment horizontal="center" vertical="center"/>
    </xf>
    <xf numFmtId="41" fontId="53" fillId="0" borderId="0" xfId="6" applyFont="1" applyBorder="1" applyAlignment="1">
      <alignment horizontal="left" vertical="center"/>
    </xf>
    <xf numFmtId="41" fontId="48" fillId="0" borderId="0" xfId="7" applyFont="1" applyBorder="1" applyAlignment="1">
      <alignment horizontal="right" vertical="center"/>
    </xf>
    <xf numFmtId="41" fontId="49" fillId="17" borderId="79" xfId="6" applyFont="1" applyFill="1" applyBorder="1" applyAlignment="1">
      <alignment horizontal="center" vertical="center"/>
    </xf>
    <xf numFmtId="41" fontId="49" fillId="17" borderId="80" xfId="6" applyFont="1" applyFill="1" applyBorder="1" applyAlignment="1">
      <alignment horizontal="center" vertical="center"/>
    </xf>
    <xf numFmtId="41" fontId="49" fillId="17" borderId="81" xfId="6" applyFont="1" applyFill="1" applyBorder="1" applyAlignment="1">
      <alignment horizontal="center" vertical="center"/>
    </xf>
    <xf numFmtId="41" fontId="49" fillId="16" borderId="79" xfId="6" applyFont="1" applyFill="1" applyBorder="1" applyAlignment="1">
      <alignment horizontal="center" vertical="center"/>
    </xf>
    <xf numFmtId="41" fontId="49" fillId="16" borderId="80" xfId="6" applyFont="1" applyFill="1" applyBorder="1" applyAlignment="1">
      <alignment horizontal="center" vertical="center"/>
    </xf>
    <xf numFmtId="41" fontId="49" fillId="16" borderId="81" xfId="6" applyFont="1" applyFill="1" applyBorder="1" applyAlignment="1">
      <alignment horizontal="center" vertical="center"/>
    </xf>
    <xf numFmtId="41" fontId="48" fillId="16" borderId="82" xfId="6" applyFont="1" applyFill="1" applyBorder="1" applyAlignment="1">
      <alignment horizontal="center" vertical="center"/>
    </xf>
    <xf numFmtId="41" fontId="48" fillId="16" borderId="84" xfId="6" applyFont="1" applyFill="1" applyBorder="1" applyAlignment="1">
      <alignment horizontal="center" vertical="center"/>
    </xf>
    <xf numFmtId="0" fontId="48" fillId="16" borderId="12" xfId="5" applyFont="1" applyFill="1" applyBorder="1" applyAlignment="1">
      <alignment horizontal="center" vertical="center"/>
    </xf>
    <xf numFmtId="0" fontId="48" fillId="16" borderId="83" xfId="5" applyFont="1" applyFill="1" applyBorder="1" applyAlignment="1">
      <alignment horizontal="center" vertical="center"/>
    </xf>
    <xf numFmtId="0" fontId="5" fillId="0" borderId="0" xfId="5" applyFont="1" applyAlignment="1">
      <alignment horizontal="center" vertical="center"/>
    </xf>
    <xf numFmtId="41" fontId="8" fillId="0" borderId="0" xfId="6" applyFont="1" applyBorder="1" applyAlignment="1">
      <alignment horizontal="center" vertical="center"/>
    </xf>
    <xf numFmtId="41" fontId="9" fillId="0" borderId="0" xfId="7" applyFont="1" applyBorder="1" applyAlignment="1">
      <alignment horizontal="right" vertical="center"/>
    </xf>
    <xf numFmtId="41" fontId="49" fillId="17" borderId="107" xfId="6" applyFont="1" applyFill="1" applyBorder="1" applyAlignment="1">
      <alignment horizontal="center" vertical="center"/>
    </xf>
    <xf numFmtId="41" fontId="49" fillId="15" borderId="108" xfId="6" applyFont="1" applyFill="1" applyBorder="1" applyAlignment="1">
      <alignment horizontal="center" vertical="center"/>
    </xf>
    <xf numFmtId="41" fontId="49" fillId="15" borderId="80" xfId="6" applyFont="1" applyFill="1" applyBorder="1" applyAlignment="1">
      <alignment horizontal="center" vertical="center"/>
    </xf>
    <xf numFmtId="41" fontId="49" fillId="15" borderId="81" xfId="6" applyFont="1" applyFill="1" applyBorder="1" applyAlignment="1">
      <alignment horizontal="center" vertical="center"/>
    </xf>
    <xf numFmtId="0" fontId="48" fillId="15" borderId="12" xfId="5" applyFont="1" applyFill="1" applyBorder="1" applyAlignment="1">
      <alignment horizontal="center" vertical="center"/>
    </xf>
    <xf numFmtId="0" fontId="48" fillId="15" borderId="83" xfId="5" applyFont="1" applyFill="1" applyBorder="1" applyAlignment="1">
      <alignment horizontal="center" vertical="center"/>
    </xf>
    <xf numFmtId="41" fontId="48" fillId="17" borderId="82" xfId="6" applyFont="1" applyFill="1" applyBorder="1" applyAlignment="1">
      <alignment horizontal="center" vertical="center"/>
    </xf>
    <xf numFmtId="41" fontId="48" fillId="17" borderId="105" xfId="6" applyFont="1" applyFill="1" applyBorder="1" applyAlignment="1">
      <alignment horizontal="center" vertical="center"/>
    </xf>
    <xf numFmtId="0" fontId="48" fillId="17" borderId="12" xfId="5" applyFont="1" applyFill="1" applyBorder="1" applyAlignment="1">
      <alignment horizontal="center" vertical="center"/>
    </xf>
    <xf numFmtId="0" fontId="48" fillId="17" borderId="24" xfId="5" applyFont="1" applyFill="1" applyBorder="1" applyAlignment="1">
      <alignment horizontal="center" vertical="center"/>
    </xf>
    <xf numFmtId="41" fontId="48" fillId="15" borderId="11" xfId="5" applyNumberFormat="1" applyFont="1" applyFill="1" applyBorder="1" applyAlignment="1">
      <alignment horizontal="center" vertical="center"/>
    </xf>
    <xf numFmtId="0" fontId="48" fillId="15" borderId="3" xfId="5" applyFont="1" applyFill="1" applyBorder="1" applyAlignment="1">
      <alignment horizontal="center" vertical="center"/>
    </xf>
    <xf numFmtId="41" fontId="10" fillId="17" borderId="111" xfId="6" applyFont="1" applyFill="1" applyBorder="1" applyAlignment="1">
      <alignment horizontal="center" vertical="center"/>
    </xf>
    <xf numFmtId="41" fontId="10" fillId="17" borderId="112" xfId="6" applyFont="1" applyFill="1" applyBorder="1" applyAlignment="1">
      <alignment horizontal="center" vertical="center"/>
    </xf>
    <xf numFmtId="41" fontId="10" fillId="17" borderId="113" xfId="6" applyFont="1" applyFill="1" applyBorder="1" applyAlignment="1">
      <alignment horizontal="center" vertical="center"/>
    </xf>
    <xf numFmtId="41" fontId="10" fillId="15" borderId="108" xfId="6" applyFont="1" applyFill="1" applyBorder="1" applyAlignment="1">
      <alignment horizontal="center" vertical="center"/>
    </xf>
    <xf numFmtId="41" fontId="10" fillId="15" borderId="80" xfId="6" applyFont="1" applyFill="1" applyBorder="1" applyAlignment="1">
      <alignment horizontal="center" vertical="center"/>
    </xf>
    <xf numFmtId="41" fontId="10" fillId="15" borderId="81" xfId="6" applyFont="1" applyFill="1" applyBorder="1" applyAlignment="1">
      <alignment horizontal="center" vertical="center"/>
    </xf>
    <xf numFmtId="0" fontId="9" fillId="15" borderId="12" xfId="5" applyFont="1" applyFill="1" applyBorder="1" applyAlignment="1">
      <alignment horizontal="center" vertical="center"/>
    </xf>
    <xf numFmtId="0" fontId="9" fillId="15" borderId="83" xfId="5" applyFont="1" applyFill="1" applyBorder="1" applyAlignment="1">
      <alignment horizontal="center" vertical="center"/>
    </xf>
    <xf numFmtId="41" fontId="9" fillId="17" borderId="105" xfId="6" applyFont="1" applyFill="1" applyBorder="1" applyAlignment="1">
      <alignment horizontal="center" vertical="center"/>
    </xf>
    <xf numFmtId="41" fontId="9" fillId="17" borderId="103" xfId="6" applyFont="1" applyFill="1" applyBorder="1" applyAlignment="1">
      <alignment horizontal="center" vertical="center"/>
    </xf>
    <xf numFmtId="0" fontId="9" fillId="17" borderId="24" xfId="5" applyFont="1" applyFill="1" applyBorder="1" applyAlignment="1">
      <alignment horizontal="center" vertical="center"/>
    </xf>
    <xf numFmtId="0" fontId="9" fillId="17" borderId="78" xfId="5" applyFont="1" applyFill="1" applyBorder="1" applyAlignment="1">
      <alignment horizontal="center" vertical="center"/>
    </xf>
    <xf numFmtId="0" fontId="9" fillId="17" borderId="77" xfId="5" applyFont="1" applyFill="1" applyBorder="1" applyAlignment="1">
      <alignment horizontal="center" vertical="center"/>
    </xf>
    <xf numFmtId="41" fontId="9" fillId="15" borderId="11" xfId="5" applyNumberFormat="1" applyFont="1" applyFill="1" applyBorder="1" applyAlignment="1">
      <alignment horizontal="center" vertical="center"/>
    </xf>
    <xf numFmtId="0" fontId="9" fillId="15" borderId="110" xfId="5" applyFont="1" applyFill="1" applyBorder="1" applyAlignment="1">
      <alignment horizontal="center" vertical="center"/>
    </xf>
    <xf numFmtId="0" fontId="60" fillId="0" borderId="0" xfId="10" applyNumberFormat="1" applyFont="1" applyAlignment="1">
      <alignment horizontal="center" vertical="center"/>
    </xf>
    <xf numFmtId="0" fontId="36" fillId="0" borderId="0" xfId="10" applyNumberFormat="1" applyFont="1" applyBorder="1" applyAlignment="1">
      <alignment horizontal="right" vertical="center"/>
    </xf>
    <xf numFmtId="0" fontId="45" fillId="18" borderId="29" xfId="10" applyNumberFormat="1" applyFont="1" applyFill="1" applyBorder="1" applyAlignment="1">
      <alignment horizontal="center" vertical="center"/>
    </xf>
    <xf numFmtId="0" fontId="45" fillId="18" borderId="30" xfId="10" applyNumberFormat="1" applyFont="1" applyFill="1" applyBorder="1" applyAlignment="1">
      <alignment horizontal="center" vertical="center"/>
    </xf>
    <xf numFmtId="0" fontId="45" fillId="18" borderId="31" xfId="10" applyNumberFormat="1" applyFont="1" applyFill="1" applyBorder="1" applyAlignment="1">
      <alignment horizontal="center" vertical="center"/>
    </xf>
    <xf numFmtId="41" fontId="45" fillId="18" borderId="31" xfId="11" applyNumberFormat="1" applyFont="1" applyFill="1" applyBorder="1" applyAlignment="1">
      <alignment horizontal="center" vertical="center"/>
    </xf>
    <xf numFmtId="41" fontId="45" fillId="18" borderId="32" xfId="11" applyNumberFormat="1" applyFont="1" applyFill="1" applyBorder="1" applyAlignment="1">
      <alignment horizontal="center" vertical="center"/>
    </xf>
    <xf numFmtId="41" fontId="45" fillId="18" borderId="28" xfId="11" applyNumberFormat="1" applyFont="1" applyFill="1" applyBorder="1" applyAlignment="1">
      <alignment horizontal="center" vertical="center"/>
    </xf>
    <xf numFmtId="41" fontId="45" fillId="18" borderId="38" xfId="11" applyNumberFormat="1" applyFont="1" applyFill="1" applyBorder="1" applyAlignment="1">
      <alignment horizontal="center" vertical="center"/>
    </xf>
    <xf numFmtId="177" fontId="45" fillId="18" borderId="33" xfId="11" applyNumberFormat="1" applyFont="1" applyFill="1" applyBorder="1" applyAlignment="1">
      <alignment horizontal="center" vertical="center"/>
    </xf>
    <xf numFmtId="177" fontId="45" fillId="18" borderId="39" xfId="11" applyNumberFormat="1" applyFont="1" applyFill="1" applyBorder="1" applyAlignment="1">
      <alignment horizontal="center" vertical="center"/>
    </xf>
    <xf numFmtId="41" fontId="45" fillId="18" borderId="33" xfId="11" applyNumberFormat="1" applyFont="1" applyFill="1" applyBorder="1" applyAlignment="1">
      <alignment horizontal="center" vertical="center" wrapText="1"/>
    </xf>
    <xf numFmtId="41" fontId="45" fillId="18" borderId="39" xfId="11" applyNumberFormat="1" applyFont="1" applyFill="1" applyBorder="1" applyAlignment="1">
      <alignment horizontal="center" vertical="center" wrapText="1"/>
    </xf>
    <xf numFmtId="41" fontId="45" fillId="18" borderId="33" xfId="11" applyNumberFormat="1" applyFont="1" applyFill="1" applyBorder="1" applyAlignment="1">
      <alignment horizontal="center" vertical="center"/>
    </xf>
    <xf numFmtId="41" fontId="45" fillId="18" borderId="39" xfId="11" applyNumberFormat="1" applyFont="1" applyFill="1" applyBorder="1" applyAlignment="1">
      <alignment horizontal="center" vertical="center"/>
    </xf>
    <xf numFmtId="0" fontId="45" fillId="18" borderId="34" xfId="10" applyNumberFormat="1" applyFont="1" applyFill="1" applyBorder="1" applyAlignment="1">
      <alignment horizontal="center" vertical="center"/>
    </xf>
    <xf numFmtId="0" fontId="45" fillId="18" borderId="40" xfId="10" applyNumberFormat="1" applyFont="1" applyFill="1" applyBorder="1" applyAlignment="1">
      <alignment horizontal="center" vertical="center"/>
    </xf>
    <xf numFmtId="0" fontId="64" fillId="0" borderId="0" xfId="0" applyFont="1" applyAlignment="1">
      <alignment horizontal="center" vertical="center"/>
    </xf>
    <xf numFmtId="0" fontId="31" fillId="0" borderId="28" xfId="0" applyFont="1" applyBorder="1" applyAlignment="1">
      <alignment horizontal="right" vertical="center"/>
    </xf>
    <xf numFmtId="0" fontId="28" fillId="18" borderId="29" xfId="0" applyFont="1" applyFill="1" applyBorder="1" applyAlignment="1">
      <alignment horizontal="center" vertical="center"/>
    </xf>
    <xf numFmtId="0" fontId="28" fillId="18" borderId="30" xfId="0" applyFont="1" applyFill="1" applyBorder="1" applyAlignment="1">
      <alignment horizontal="center" vertical="center"/>
    </xf>
    <xf numFmtId="41" fontId="28" fillId="18" borderId="31" xfId="1" applyFont="1" applyFill="1" applyBorder="1" applyAlignment="1">
      <alignment horizontal="center" vertical="center"/>
    </xf>
    <xf numFmtId="41" fontId="28" fillId="18" borderId="32" xfId="1" applyFont="1" applyFill="1" applyBorder="1" applyAlignment="1">
      <alignment horizontal="center" vertical="center"/>
    </xf>
    <xf numFmtId="41" fontId="28" fillId="18" borderId="28" xfId="1" applyFont="1" applyFill="1" applyBorder="1" applyAlignment="1">
      <alignment horizontal="center" vertical="center"/>
    </xf>
    <xf numFmtId="41" fontId="28" fillId="18" borderId="38" xfId="1" applyFont="1" applyFill="1" applyBorder="1" applyAlignment="1">
      <alignment horizontal="center" vertical="center"/>
    </xf>
    <xf numFmtId="177" fontId="28" fillId="18" borderId="33" xfId="1" applyNumberFormat="1" applyFont="1" applyFill="1" applyBorder="1" applyAlignment="1">
      <alignment horizontal="center" vertical="center"/>
    </xf>
    <xf numFmtId="177" fontId="28" fillId="18" borderId="39" xfId="1" applyNumberFormat="1" applyFont="1" applyFill="1" applyBorder="1" applyAlignment="1">
      <alignment horizontal="center" vertical="center"/>
    </xf>
    <xf numFmtId="41" fontId="28" fillId="18" borderId="33" xfId="1" applyFont="1" applyFill="1" applyBorder="1" applyAlignment="1">
      <alignment horizontal="center" vertical="center" wrapText="1"/>
    </xf>
    <xf numFmtId="41" fontId="28" fillId="18" borderId="39" xfId="1" applyFont="1" applyFill="1" applyBorder="1" applyAlignment="1">
      <alignment horizontal="center" vertical="center" wrapText="1"/>
    </xf>
    <xf numFmtId="41" fontId="28" fillId="18" borderId="33" xfId="1" applyFont="1" applyFill="1" applyBorder="1" applyAlignment="1">
      <alignment horizontal="center" vertical="center"/>
    </xf>
    <xf numFmtId="41" fontId="28" fillId="18" borderId="39" xfId="1" applyFont="1" applyFill="1" applyBorder="1" applyAlignment="1">
      <alignment horizontal="center" vertical="center"/>
    </xf>
    <xf numFmtId="0" fontId="28" fillId="18" borderId="34" xfId="0" applyFont="1" applyFill="1" applyBorder="1" applyAlignment="1">
      <alignment horizontal="center" vertical="center"/>
    </xf>
    <xf numFmtId="0" fontId="28" fillId="18" borderId="40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7" fillId="0" borderId="28" xfId="0" applyFont="1" applyBorder="1" applyAlignment="1">
      <alignment horizontal="right" vertical="center"/>
    </xf>
    <xf numFmtId="0" fontId="33" fillId="18" borderId="29" xfId="0" applyFont="1" applyFill="1" applyBorder="1" applyAlignment="1">
      <alignment horizontal="center" vertical="center"/>
    </xf>
    <xf numFmtId="0" fontId="33" fillId="18" borderId="30" xfId="0" applyFont="1" applyFill="1" applyBorder="1" applyAlignment="1">
      <alignment horizontal="center" vertical="center"/>
    </xf>
    <xf numFmtId="41" fontId="33" fillId="18" borderId="31" xfId="1" applyFont="1" applyFill="1" applyBorder="1" applyAlignment="1">
      <alignment horizontal="center" vertical="center"/>
    </xf>
    <xf numFmtId="41" fontId="33" fillId="18" borderId="32" xfId="1" applyFont="1" applyFill="1" applyBorder="1" applyAlignment="1">
      <alignment horizontal="center" vertical="center"/>
    </xf>
    <xf numFmtId="41" fontId="33" fillId="18" borderId="28" xfId="1" applyFont="1" applyFill="1" applyBorder="1" applyAlignment="1">
      <alignment horizontal="center" vertical="center"/>
    </xf>
    <xf numFmtId="41" fontId="33" fillId="18" borderId="38" xfId="1" applyFont="1" applyFill="1" applyBorder="1" applyAlignment="1">
      <alignment horizontal="center" vertical="center"/>
    </xf>
    <xf numFmtId="177" fontId="33" fillId="18" borderId="33" xfId="1" applyNumberFormat="1" applyFont="1" applyFill="1" applyBorder="1" applyAlignment="1">
      <alignment horizontal="center" vertical="center"/>
    </xf>
    <xf numFmtId="177" fontId="33" fillId="18" borderId="39" xfId="1" applyNumberFormat="1" applyFont="1" applyFill="1" applyBorder="1" applyAlignment="1">
      <alignment horizontal="center" vertical="center"/>
    </xf>
    <xf numFmtId="41" fontId="33" fillId="18" borderId="33" xfId="1" applyFont="1" applyFill="1" applyBorder="1" applyAlignment="1">
      <alignment horizontal="center" vertical="center" wrapText="1"/>
    </xf>
    <xf numFmtId="41" fontId="33" fillId="18" borderId="39" xfId="1" applyFont="1" applyFill="1" applyBorder="1" applyAlignment="1">
      <alignment horizontal="center" vertical="center" wrapText="1"/>
    </xf>
    <xf numFmtId="41" fontId="33" fillId="18" borderId="33" xfId="1" applyFont="1" applyFill="1" applyBorder="1" applyAlignment="1">
      <alignment horizontal="center" vertical="center"/>
    </xf>
    <xf numFmtId="41" fontId="33" fillId="18" borderId="39" xfId="1" applyFont="1" applyFill="1" applyBorder="1" applyAlignment="1">
      <alignment horizontal="center" vertical="center"/>
    </xf>
    <xf numFmtId="0" fontId="33" fillId="18" borderId="34" xfId="0" applyFont="1" applyFill="1" applyBorder="1" applyAlignment="1">
      <alignment horizontal="center" vertical="center"/>
    </xf>
    <xf numFmtId="0" fontId="33" fillId="18" borderId="40" xfId="0" applyFont="1" applyFill="1" applyBorder="1" applyAlignment="1">
      <alignment horizontal="center" vertical="center"/>
    </xf>
    <xf numFmtId="0" fontId="33" fillId="0" borderId="51" xfId="0" applyFont="1" applyFill="1" applyBorder="1" applyAlignment="1">
      <alignment horizontal="left" vertical="center"/>
    </xf>
    <xf numFmtId="0" fontId="33" fillId="0" borderId="50" xfId="0" applyFont="1" applyFill="1" applyBorder="1" applyAlignment="1">
      <alignment horizontal="left" vertical="center"/>
    </xf>
    <xf numFmtId="0" fontId="33" fillId="0" borderId="61" xfId="0" applyFont="1" applyFill="1" applyBorder="1" applyAlignment="1">
      <alignment horizontal="center" vertical="center"/>
    </xf>
    <xf numFmtId="0" fontId="33" fillId="18" borderId="65" xfId="0" applyFont="1" applyFill="1" applyBorder="1" applyAlignment="1">
      <alignment horizontal="center" vertical="center"/>
    </xf>
    <xf numFmtId="186" fontId="36" fillId="0" borderId="0" xfId="10" applyNumberFormat="1" applyFont="1" applyBorder="1" applyAlignment="1">
      <alignment horizontal="center" vertical="center"/>
    </xf>
    <xf numFmtId="0" fontId="36" fillId="0" borderId="28" xfId="10" applyNumberFormat="1" applyFont="1" applyBorder="1" applyAlignment="1">
      <alignment horizontal="right" vertical="center"/>
    </xf>
    <xf numFmtId="0" fontId="45" fillId="18" borderId="54" xfId="10" applyNumberFormat="1" applyFont="1" applyFill="1" applyBorder="1" applyAlignment="1">
      <alignment horizontal="center" vertical="center"/>
    </xf>
    <xf numFmtId="10" fontId="31" fillId="0" borderId="0" xfId="0" applyNumberFormat="1" applyFont="1" applyFill="1" applyBorder="1" applyAlignment="1">
      <alignment horizontal="center" vertical="center" shrinkToFit="1"/>
    </xf>
    <xf numFmtId="186" fontId="31" fillId="0" borderId="0" xfId="0" applyNumberFormat="1" applyFont="1" applyBorder="1" applyAlignment="1">
      <alignment horizontal="center" vertical="center"/>
    </xf>
    <xf numFmtId="187" fontId="31" fillId="0" borderId="0" xfId="0" applyNumberFormat="1" applyFont="1" applyFill="1" applyBorder="1" applyAlignment="1">
      <alignment horizontal="center" vertical="center" shrinkToFit="1"/>
    </xf>
    <xf numFmtId="182" fontId="31" fillId="0" borderId="0" xfId="0" applyNumberFormat="1" applyFont="1" applyBorder="1" applyAlignment="1">
      <alignment horizontal="center" vertical="center"/>
    </xf>
    <xf numFmtId="189" fontId="67" fillId="0" borderId="0" xfId="0" applyNumberFormat="1" applyFont="1" applyBorder="1" applyAlignment="1">
      <alignment horizontal="center" vertical="center"/>
    </xf>
    <xf numFmtId="185" fontId="31" fillId="0" borderId="0" xfId="0" applyNumberFormat="1" applyFont="1" applyBorder="1" applyAlignment="1">
      <alignment horizontal="center" vertical="center"/>
    </xf>
    <xf numFmtId="186" fontId="31" fillId="0" borderId="16" xfId="0" applyNumberFormat="1" applyFont="1" applyBorder="1" applyAlignment="1">
      <alignment horizontal="center" vertical="center"/>
    </xf>
    <xf numFmtId="186" fontId="27" fillId="0" borderId="0" xfId="0" applyNumberFormat="1" applyFont="1" applyBorder="1" applyAlignment="1">
      <alignment horizontal="center" vertical="center"/>
    </xf>
    <xf numFmtId="182" fontId="31" fillId="0" borderId="0" xfId="0" applyNumberFormat="1" applyFont="1" applyFill="1" applyBorder="1" applyAlignment="1">
      <alignment horizontal="center" vertical="center" shrinkToFit="1"/>
    </xf>
    <xf numFmtId="189" fontId="34" fillId="0" borderId="16" xfId="0" applyNumberFormat="1" applyFont="1" applyBorder="1" applyAlignment="1">
      <alignment horizontal="center" vertical="center"/>
    </xf>
    <xf numFmtId="189" fontId="34" fillId="0" borderId="0" xfId="0" applyNumberFormat="1" applyFont="1" applyBorder="1" applyAlignment="1">
      <alignment horizontal="center" vertical="center"/>
    </xf>
    <xf numFmtId="186" fontId="27" fillId="0" borderId="16" xfId="0" applyNumberFormat="1" applyFont="1" applyBorder="1" applyAlignment="1">
      <alignment horizontal="center" vertical="center"/>
    </xf>
    <xf numFmtId="187" fontId="31" fillId="0" borderId="16" xfId="0" applyNumberFormat="1" applyFont="1" applyFill="1" applyBorder="1" applyAlignment="1">
      <alignment horizontal="center" vertical="center" shrinkToFit="1"/>
    </xf>
    <xf numFmtId="187" fontId="27" fillId="0" borderId="0" xfId="0" applyNumberFormat="1" applyFont="1" applyFill="1" applyBorder="1" applyAlignment="1">
      <alignment horizontal="center" vertical="center" shrinkToFit="1"/>
    </xf>
    <xf numFmtId="182" fontId="27" fillId="0" borderId="0" xfId="0" applyNumberFormat="1" applyFont="1" applyBorder="1" applyAlignment="1">
      <alignment horizontal="center" vertical="center"/>
    </xf>
    <xf numFmtId="185" fontId="27" fillId="0" borderId="0" xfId="0" applyNumberFormat="1" applyFont="1" applyBorder="1" applyAlignment="1">
      <alignment horizontal="center" vertical="center"/>
    </xf>
    <xf numFmtId="41" fontId="33" fillId="18" borderId="70" xfId="1" applyFont="1" applyFill="1" applyBorder="1" applyAlignment="1">
      <alignment horizontal="center" vertical="center"/>
    </xf>
    <xf numFmtId="41" fontId="33" fillId="18" borderId="71" xfId="1" applyFont="1" applyFill="1" applyBorder="1" applyAlignment="1">
      <alignment horizontal="center" vertical="center"/>
    </xf>
    <xf numFmtId="0" fontId="27" fillId="9" borderId="51" xfId="0" applyFont="1" applyFill="1" applyBorder="1" applyAlignment="1">
      <alignment horizontal="left" vertical="center"/>
    </xf>
    <xf numFmtId="0" fontId="27" fillId="9" borderId="50" xfId="0" applyFont="1" applyFill="1" applyBorder="1" applyAlignment="1">
      <alignment horizontal="left" vertical="center"/>
    </xf>
    <xf numFmtId="176" fontId="31" fillId="0" borderId="0" xfId="0" applyNumberFormat="1" applyFont="1" applyFill="1" applyBorder="1" applyAlignment="1">
      <alignment horizontal="center" vertical="center" shrinkToFit="1"/>
    </xf>
  </cellXfs>
  <cellStyles count="19">
    <cellStyle name="백분율" xfId="2" builtinId="5"/>
    <cellStyle name="백분율 2 2" xfId="4"/>
    <cellStyle name="백분율 3" xfId="3"/>
    <cellStyle name="백분율 4" xfId="12"/>
    <cellStyle name="쉼표 [0]" xfId="1" builtinId="6"/>
    <cellStyle name="쉼표 [0] 2" xfId="16"/>
    <cellStyle name="쉼표 [0] 3 2" xfId="7"/>
    <cellStyle name="쉼표 [0] 4" xfId="6"/>
    <cellStyle name="쉼표 [0] 4 2" xfId="13"/>
    <cellStyle name="쉼표 [0] 4 3" xfId="17"/>
    <cellStyle name="쉼표 [0] 6" xfId="11"/>
    <cellStyle name="쉼표 [0] 6 2" xfId="18"/>
    <cellStyle name="표준" xfId="0" builtinId="0"/>
    <cellStyle name="표준 2" xfId="14"/>
    <cellStyle name="표준 4" xfId="15"/>
    <cellStyle name="표준 5" xfId="10"/>
    <cellStyle name="표준_05년방배예산서(4차최종)" xfId="5"/>
    <cellStyle name="표준_청소년수련관예산평성서식(수정)(1)" xfId="8"/>
    <cellStyle name="하이퍼링크" xfId="9" builtinId="8"/>
  </cellStyles>
  <dxfs count="0"/>
  <tableStyles count="0" defaultTableStyle="TableStyleMedium2" defaultPivotStyle="PivotStyleLight16"/>
  <colors>
    <mruColors>
      <color rgb="FFFFE7FF"/>
      <color rgb="FF66CCFF"/>
      <color rgb="FFFFCCFF"/>
      <color rgb="FF0066CC"/>
      <color rgb="FF3399FF"/>
      <color rgb="FF0066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2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Relationship Id="rId4" Type="http://schemas.openxmlformats.org/officeDocument/2006/relationships/image" Target="../media/image9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1.emf"/><Relationship Id="rId1" Type="http://schemas.openxmlformats.org/officeDocument/2006/relationships/image" Target="../media/image10.emf"/><Relationship Id="rId4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476250</xdr:colOff>
      <xdr:row>0</xdr:row>
      <xdr:rowOff>47625</xdr:rowOff>
    </xdr:from>
    <xdr:to>
      <xdr:col>12</xdr:col>
      <xdr:colOff>657225</xdr:colOff>
      <xdr:row>4</xdr:row>
      <xdr:rowOff>0</xdr:rowOff>
    </xdr:to>
    <xdr:pic>
      <xdr:nvPicPr>
        <xdr:cNvPr id="3" name="_x348337040" descr="EMB00000d5801e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0050" y="47625"/>
          <a:ext cx="866775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118383</xdr:colOff>
      <xdr:row>16</xdr:row>
      <xdr:rowOff>186420</xdr:rowOff>
    </xdr:from>
    <xdr:to>
      <xdr:col>8</xdr:col>
      <xdr:colOff>620486</xdr:colOff>
      <xdr:row>23</xdr:row>
      <xdr:rowOff>85328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1583" y="4786995"/>
          <a:ext cx="3245303" cy="1365758"/>
        </a:xfrm>
        <a:prstGeom prst="rect">
          <a:avLst/>
        </a:prstGeom>
      </xdr:spPr>
    </xdr:pic>
    <xdr:clientData/>
  </xdr:twoCellAnchor>
  <xdr:twoCellAnchor editAs="oneCell">
    <xdr:from>
      <xdr:col>2</xdr:col>
      <xdr:colOff>586469</xdr:colOff>
      <xdr:row>10</xdr:row>
      <xdr:rowOff>111579</xdr:rowOff>
    </xdr:from>
    <xdr:to>
      <xdr:col>10</xdr:col>
      <xdr:colOff>69928</xdr:colOff>
      <xdr:row>17</xdr:row>
      <xdr:rowOff>43544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58069" y="2778579"/>
          <a:ext cx="4969859" cy="2075090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0</xdr:row>
      <xdr:rowOff>95250</xdr:rowOff>
    </xdr:from>
    <xdr:to>
      <xdr:col>3</xdr:col>
      <xdr:colOff>400050</xdr:colOff>
      <xdr:row>4</xdr:row>
      <xdr:rowOff>104775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95250"/>
          <a:ext cx="2390775" cy="847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127442</xdr:colOff>
      <xdr:row>19</xdr:row>
      <xdr:rowOff>10904</xdr:rowOff>
    </xdr:from>
    <xdr:ext cx="184731" cy="937629"/>
    <xdr:sp macro="" textlink="">
      <xdr:nvSpPr>
        <xdr:cNvPr id="12" name="직사각형 11"/>
        <xdr:cNvSpPr/>
      </xdr:nvSpPr>
      <xdr:spPr>
        <a:xfrm>
          <a:off x="6860884" y="3300692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n-US" altLang="ko-KR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380518</xdr:colOff>
      <xdr:row>9</xdr:row>
      <xdr:rowOff>27163</xdr:rowOff>
    </xdr:from>
    <xdr:to>
      <xdr:col>11</xdr:col>
      <xdr:colOff>9525</xdr:colOff>
      <xdr:row>13</xdr:row>
      <xdr:rowOff>27645</xdr:rowOff>
    </xdr:to>
    <xdr:grpSp>
      <xdr:nvGrpSpPr>
        <xdr:cNvPr id="9" name="그룹 8"/>
        <xdr:cNvGrpSpPr/>
      </xdr:nvGrpSpPr>
      <xdr:grpSpPr>
        <a:xfrm>
          <a:off x="1066318" y="1913113"/>
          <a:ext cx="6487007" cy="1410182"/>
          <a:chOff x="2180743" y="1979788"/>
          <a:chExt cx="6487007" cy="1410182"/>
        </a:xfrm>
      </xdr:grpSpPr>
      <xdr:sp macro="" textlink="">
        <xdr:nvSpPr>
          <xdr:cNvPr id="6" name="자유형 5"/>
          <xdr:cNvSpPr/>
        </xdr:nvSpPr>
        <xdr:spPr>
          <a:xfrm>
            <a:off x="3088980" y="2133600"/>
            <a:ext cx="5578770" cy="1204911"/>
          </a:xfrm>
          <a:custGeom>
            <a:avLst/>
            <a:gdLst>
              <a:gd name="connsiteX0" fmla="*/ 0 w 3335631"/>
              <a:gd name="connsiteY0" fmla="*/ 0 h 1185856"/>
              <a:gd name="connsiteX1" fmla="*/ 2742703 w 3335631"/>
              <a:gd name="connsiteY1" fmla="*/ 0 h 1185856"/>
              <a:gd name="connsiteX2" fmla="*/ 3335631 w 3335631"/>
              <a:gd name="connsiteY2" fmla="*/ 592928 h 1185856"/>
              <a:gd name="connsiteX3" fmla="*/ 2742703 w 3335631"/>
              <a:gd name="connsiteY3" fmla="*/ 1185856 h 1185856"/>
              <a:gd name="connsiteX4" fmla="*/ 0 w 3335631"/>
              <a:gd name="connsiteY4" fmla="*/ 1185856 h 1185856"/>
              <a:gd name="connsiteX5" fmla="*/ 0 w 3335631"/>
              <a:gd name="connsiteY5" fmla="*/ 0 h 118585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3335631" h="1185856">
                <a:moveTo>
                  <a:pt x="3335631" y="1185855"/>
                </a:moveTo>
                <a:lnTo>
                  <a:pt x="592928" y="1185855"/>
                </a:lnTo>
                <a:lnTo>
                  <a:pt x="0" y="592928"/>
                </a:lnTo>
                <a:lnTo>
                  <a:pt x="592928" y="1"/>
                </a:lnTo>
                <a:lnTo>
                  <a:pt x="3335631" y="1"/>
                </a:lnTo>
                <a:lnTo>
                  <a:pt x="3335631" y="1185855"/>
                </a:lnTo>
                <a:close/>
              </a:path>
            </a:pathLst>
          </a:custGeom>
          <a:solidFill>
            <a:schemeClr val="accent5">
              <a:lumMod val="75000"/>
            </a:schemeClr>
          </a:solidFill>
          <a:ln w="28575">
            <a:solidFill>
              <a:schemeClr val="bg1">
                <a:lumMod val="50000"/>
              </a:schemeClr>
            </a:solidFill>
          </a:ln>
        </xdr:spPr>
        <xdr:style>
          <a:lnRef idx="2">
            <a:scrgbClr r="0" g="0" b="0"/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71866" tIns="121920" rIns="227584" bIns="121921" numCol="1" spcCol="1270" anchor="ctr" anchorCtr="0">
            <a:noAutofit/>
          </a:bodyPr>
          <a:lstStyle/>
          <a:p>
            <a:pPr lvl="0" algn="ctr" defTabSz="142240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ko-KR" altLang="en-US" sz="4000" b="1" kern="1200">
                <a:latin typeface="+mj-ea"/>
                <a:ea typeface="+mj-ea"/>
              </a:rPr>
              <a:t>예 산 총 칙</a:t>
            </a:r>
          </a:p>
        </xdr:txBody>
      </xdr:sp>
      <xdr:sp macro="" textlink="">
        <xdr:nvSpPr>
          <xdr:cNvPr id="7" name="타원 6"/>
          <xdr:cNvSpPr/>
        </xdr:nvSpPr>
        <xdr:spPr>
          <a:xfrm>
            <a:off x="2180743" y="1979788"/>
            <a:ext cx="1410182" cy="1410182"/>
          </a:xfrm>
          <a:prstGeom prst="ellipse">
            <a:avLst/>
          </a:prstGeom>
          <a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 l="-7000" r="-7000"/>
            </a:stretch>
          </a:blipFill>
          <a:ln w="3810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>
              <a:hueOff val="0"/>
              <a:satOff val="0"/>
              <a:lumOff val="0"/>
              <a:alphaOff val="0"/>
            </a:schemeClr>
          </a:fontRef>
        </xdr:style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56</xdr:row>
          <xdr:rowOff>19050</xdr:rowOff>
        </xdr:from>
        <xdr:to>
          <xdr:col>4</xdr:col>
          <xdr:colOff>971550</xdr:colOff>
          <xdr:row>60</xdr:row>
          <xdr:rowOff>155436</xdr:rowOff>
        </xdr:to>
        <xdr:pic>
          <xdr:nvPicPr>
            <xdr:cNvPr id="2" name="그림 1"/>
            <xdr:cNvPicPr>
              <a:picLocks noChangeAspect="1" noChangeArrowheads="1"/>
              <a:extLst>
                <a:ext uri="{84589F7E-364E-4C9E-8A38-B11213B215E9}">
                  <a14:cameraTool cellRange="[2]Sheet1!$A$1:$F$2" spid="_x0000_s18368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169670" y="12348210"/>
              <a:ext cx="5937885" cy="1020306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19049</xdr:colOff>
          <xdr:row>64</xdr:row>
          <xdr:rowOff>9525</xdr:rowOff>
        </xdr:from>
        <xdr:to>
          <xdr:col>4</xdr:col>
          <xdr:colOff>962024</xdr:colOff>
          <xdr:row>68</xdr:row>
          <xdr:rowOff>144350</xdr:rowOff>
        </xdr:to>
        <xdr:pic>
          <xdr:nvPicPr>
            <xdr:cNvPr id="3" name="그림 2"/>
            <xdr:cNvPicPr>
              <a:picLocks noChangeAspect="1" noChangeArrowheads="1"/>
              <a:extLst>
                <a:ext uri="{84589F7E-364E-4C9E-8A38-B11213B215E9}">
                  <a14:cameraTool cellRange="[2]Sheet1!$A$5:$F$6" spid="_x0000_s183690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171574" y="13249275"/>
              <a:ext cx="5934075" cy="9730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19049</xdr:colOff>
          <xdr:row>87</xdr:row>
          <xdr:rowOff>9525</xdr:rowOff>
        </xdr:from>
        <xdr:to>
          <xdr:col>4</xdr:col>
          <xdr:colOff>942974</xdr:colOff>
          <xdr:row>91</xdr:row>
          <xdr:rowOff>141225</xdr:rowOff>
        </xdr:to>
        <xdr:pic>
          <xdr:nvPicPr>
            <xdr:cNvPr id="4" name="그림 3"/>
            <xdr:cNvPicPr>
              <a:picLocks noChangeAspect="1" noChangeArrowheads="1"/>
              <a:extLst>
                <a:ext uri="{84589F7E-364E-4C9E-8A38-B11213B215E9}">
                  <a14:cameraTool cellRange="[2]Sheet1!$A$13:$F$14" spid="_x0000_s183691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1171574" y="18116550"/>
              <a:ext cx="5915025" cy="9699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80</xdr:row>
          <xdr:rowOff>19050</xdr:rowOff>
        </xdr:from>
        <xdr:to>
          <xdr:col>4</xdr:col>
          <xdr:colOff>933450</xdr:colOff>
          <xdr:row>84</xdr:row>
          <xdr:rowOff>11128</xdr:rowOff>
        </xdr:to>
        <xdr:pic>
          <xdr:nvPicPr>
            <xdr:cNvPr id="5" name="그림 4"/>
            <xdr:cNvPicPr>
              <a:picLocks noChangeAspect="1" noChangeArrowheads="1"/>
              <a:extLst>
                <a:ext uri="{84589F7E-364E-4C9E-8A38-B11213B215E9}">
                  <a14:cameraTool cellRange="[2]Sheet1!$A$9:$G$10" spid="_x0000_s183692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171575" y="16649700"/>
              <a:ext cx="5905500" cy="830278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9</xdr:row>
      <xdr:rowOff>9525</xdr:rowOff>
    </xdr:from>
    <xdr:to>
      <xdr:col>11</xdr:col>
      <xdr:colOff>19532</xdr:colOff>
      <xdr:row>13</xdr:row>
      <xdr:rowOff>10007</xdr:rowOff>
    </xdr:to>
    <xdr:grpSp>
      <xdr:nvGrpSpPr>
        <xdr:cNvPr id="2" name="그룹 1"/>
        <xdr:cNvGrpSpPr/>
      </xdr:nvGrpSpPr>
      <xdr:grpSpPr>
        <a:xfrm>
          <a:off x="1076325" y="1895475"/>
          <a:ext cx="6487007" cy="1410182"/>
          <a:chOff x="1076325" y="1895475"/>
          <a:chExt cx="6487007" cy="1410182"/>
        </a:xfrm>
      </xdr:grpSpPr>
      <xdr:sp macro="" textlink="">
        <xdr:nvSpPr>
          <xdr:cNvPr id="5" name="자유형 4"/>
          <xdr:cNvSpPr/>
        </xdr:nvSpPr>
        <xdr:spPr>
          <a:xfrm>
            <a:off x="1984562" y="2049287"/>
            <a:ext cx="5578770" cy="1204911"/>
          </a:xfrm>
          <a:custGeom>
            <a:avLst/>
            <a:gdLst>
              <a:gd name="connsiteX0" fmla="*/ 0 w 3335631"/>
              <a:gd name="connsiteY0" fmla="*/ 0 h 1185856"/>
              <a:gd name="connsiteX1" fmla="*/ 2742703 w 3335631"/>
              <a:gd name="connsiteY1" fmla="*/ 0 h 1185856"/>
              <a:gd name="connsiteX2" fmla="*/ 3335631 w 3335631"/>
              <a:gd name="connsiteY2" fmla="*/ 592928 h 1185856"/>
              <a:gd name="connsiteX3" fmla="*/ 2742703 w 3335631"/>
              <a:gd name="connsiteY3" fmla="*/ 1185856 h 1185856"/>
              <a:gd name="connsiteX4" fmla="*/ 0 w 3335631"/>
              <a:gd name="connsiteY4" fmla="*/ 1185856 h 1185856"/>
              <a:gd name="connsiteX5" fmla="*/ 0 w 3335631"/>
              <a:gd name="connsiteY5" fmla="*/ 0 h 118585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3335631" h="1185856">
                <a:moveTo>
                  <a:pt x="3335631" y="1185855"/>
                </a:moveTo>
                <a:lnTo>
                  <a:pt x="592928" y="1185855"/>
                </a:lnTo>
                <a:lnTo>
                  <a:pt x="0" y="592928"/>
                </a:lnTo>
                <a:lnTo>
                  <a:pt x="592928" y="1"/>
                </a:lnTo>
                <a:lnTo>
                  <a:pt x="3335631" y="1"/>
                </a:lnTo>
                <a:lnTo>
                  <a:pt x="3335631" y="1185855"/>
                </a:lnTo>
                <a:close/>
              </a:path>
            </a:pathLst>
          </a:custGeom>
          <a:solidFill>
            <a:schemeClr val="accent5">
              <a:lumMod val="75000"/>
            </a:schemeClr>
          </a:solidFill>
          <a:ln w="28575">
            <a:solidFill>
              <a:schemeClr val="bg1">
                <a:lumMod val="50000"/>
              </a:schemeClr>
            </a:solidFill>
          </a:ln>
        </xdr:spPr>
        <xdr:style>
          <a:lnRef idx="2">
            <a:scrgbClr r="0" g="0" b="0"/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71866" tIns="121920" rIns="227584" bIns="121921" numCol="1" spcCol="1270" anchor="ctr" anchorCtr="0">
            <a:noAutofit/>
          </a:bodyPr>
          <a:lstStyle/>
          <a:p>
            <a:pPr lvl="0" algn="ctr" defTabSz="142240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en-US" altLang="ko-KR" sz="3000" b="1" kern="1200">
                <a:latin typeface="+mj-ea"/>
                <a:ea typeface="+mj-ea"/>
              </a:rPr>
              <a:t>2018</a:t>
            </a:r>
            <a:r>
              <a:rPr lang="ko-KR" altLang="en-US" sz="3000" b="1" kern="1200">
                <a:latin typeface="+mj-ea"/>
                <a:ea typeface="+mj-ea"/>
              </a:rPr>
              <a:t>년 세입</a:t>
            </a:r>
            <a:r>
              <a:rPr lang="en-US" altLang="ko-KR" sz="3000" b="1" kern="1200">
                <a:latin typeface="+mj-ea"/>
                <a:ea typeface="+mj-ea"/>
              </a:rPr>
              <a:t>·</a:t>
            </a:r>
            <a:r>
              <a:rPr lang="ko-KR" altLang="en-US" sz="3000" b="1" kern="1200">
                <a:latin typeface="+mj-ea"/>
                <a:ea typeface="+mj-ea"/>
              </a:rPr>
              <a:t>세출예산</a:t>
            </a:r>
            <a:r>
              <a:rPr lang="en-US" altLang="ko-KR" sz="3000" b="1" kern="1200">
                <a:latin typeface="+mj-ea"/>
                <a:ea typeface="+mj-ea"/>
              </a:rPr>
              <a:t>(</a:t>
            </a:r>
            <a:r>
              <a:rPr lang="ko-KR" altLang="en-US" sz="3000" b="1" kern="1200">
                <a:latin typeface="+mj-ea"/>
                <a:ea typeface="+mj-ea"/>
              </a:rPr>
              <a:t>안</a:t>
            </a:r>
            <a:r>
              <a:rPr lang="en-US" altLang="ko-KR" sz="3000" b="1" kern="1200">
                <a:latin typeface="+mj-ea"/>
                <a:ea typeface="+mj-ea"/>
              </a:rPr>
              <a:t>)</a:t>
            </a:r>
            <a:endParaRPr lang="ko-KR" altLang="en-US" sz="3000" b="1" kern="1200">
              <a:latin typeface="+mj-ea"/>
              <a:ea typeface="+mj-ea"/>
            </a:endParaRPr>
          </a:p>
        </xdr:txBody>
      </xdr:sp>
      <xdr:sp macro="" textlink="">
        <xdr:nvSpPr>
          <xdr:cNvPr id="6" name="타원 5"/>
          <xdr:cNvSpPr/>
        </xdr:nvSpPr>
        <xdr:spPr>
          <a:xfrm>
            <a:off x="1076325" y="1895475"/>
            <a:ext cx="1410182" cy="1410182"/>
          </a:xfrm>
          <a:prstGeom prst="ellipse">
            <a:avLst/>
          </a:prstGeom>
          <a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 l="-7000" r="-7000"/>
            </a:stretch>
          </a:blipFill>
          <a:ln w="3810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>
              <a:hueOff val="0"/>
              <a:satOff val="0"/>
              <a:lumOff val="0"/>
              <a:alphaOff val="0"/>
            </a:schemeClr>
          </a:fontRef>
        </xdr:style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380518</xdr:colOff>
      <xdr:row>9</xdr:row>
      <xdr:rowOff>27163</xdr:rowOff>
    </xdr:from>
    <xdr:to>
      <xdr:col>11</xdr:col>
      <xdr:colOff>9525</xdr:colOff>
      <xdr:row>13</xdr:row>
      <xdr:rowOff>27645</xdr:rowOff>
    </xdr:to>
    <xdr:grpSp>
      <xdr:nvGrpSpPr>
        <xdr:cNvPr id="2" name="그룹 1"/>
        <xdr:cNvGrpSpPr/>
      </xdr:nvGrpSpPr>
      <xdr:grpSpPr>
        <a:xfrm>
          <a:off x="1066318" y="1913113"/>
          <a:ext cx="6487007" cy="1410182"/>
          <a:chOff x="2180743" y="1979788"/>
          <a:chExt cx="6487007" cy="1410182"/>
        </a:xfrm>
      </xdr:grpSpPr>
      <xdr:sp macro="" textlink="">
        <xdr:nvSpPr>
          <xdr:cNvPr id="3" name="자유형 2"/>
          <xdr:cNvSpPr/>
        </xdr:nvSpPr>
        <xdr:spPr>
          <a:xfrm>
            <a:off x="3088980" y="2133600"/>
            <a:ext cx="5578770" cy="1204911"/>
          </a:xfrm>
          <a:custGeom>
            <a:avLst/>
            <a:gdLst>
              <a:gd name="connsiteX0" fmla="*/ 0 w 3335631"/>
              <a:gd name="connsiteY0" fmla="*/ 0 h 1185856"/>
              <a:gd name="connsiteX1" fmla="*/ 2742703 w 3335631"/>
              <a:gd name="connsiteY1" fmla="*/ 0 h 1185856"/>
              <a:gd name="connsiteX2" fmla="*/ 3335631 w 3335631"/>
              <a:gd name="connsiteY2" fmla="*/ 592928 h 1185856"/>
              <a:gd name="connsiteX3" fmla="*/ 2742703 w 3335631"/>
              <a:gd name="connsiteY3" fmla="*/ 1185856 h 1185856"/>
              <a:gd name="connsiteX4" fmla="*/ 0 w 3335631"/>
              <a:gd name="connsiteY4" fmla="*/ 1185856 h 1185856"/>
              <a:gd name="connsiteX5" fmla="*/ 0 w 3335631"/>
              <a:gd name="connsiteY5" fmla="*/ 0 h 118585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3335631" h="1185856">
                <a:moveTo>
                  <a:pt x="3335631" y="1185855"/>
                </a:moveTo>
                <a:lnTo>
                  <a:pt x="592928" y="1185855"/>
                </a:lnTo>
                <a:lnTo>
                  <a:pt x="0" y="592928"/>
                </a:lnTo>
                <a:lnTo>
                  <a:pt x="592928" y="1"/>
                </a:lnTo>
                <a:lnTo>
                  <a:pt x="3335631" y="1"/>
                </a:lnTo>
                <a:lnTo>
                  <a:pt x="3335631" y="1185855"/>
                </a:lnTo>
                <a:close/>
              </a:path>
            </a:pathLst>
          </a:custGeom>
          <a:solidFill>
            <a:schemeClr val="accent5">
              <a:lumMod val="75000"/>
            </a:schemeClr>
          </a:solidFill>
          <a:ln w="28575">
            <a:solidFill>
              <a:schemeClr val="bg1">
                <a:lumMod val="50000"/>
              </a:schemeClr>
            </a:solidFill>
          </a:ln>
        </xdr:spPr>
        <xdr:style>
          <a:lnRef idx="2">
            <a:scrgbClr r="0" g="0" b="0"/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71866" tIns="121920" rIns="227584" bIns="121921" numCol="1" spcCol="1270" anchor="ctr" anchorCtr="0">
            <a:noAutofit/>
          </a:bodyPr>
          <a:lstStyle/>
          <a:p>
            <a:pPr lvl="0" algn="ctr" defTabSz="142240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ko-KR" altLang="en-US" sz="3600" b="1" kern="1200">
                <a:latin typeface="+mj-ea"/>
                <a:ea typeface="+mj-ea"/>
              </a:rPr>
              <a:t>세입예산 사업내역서</a:t>
            </a:r>
          </a:p>
        </xdr:txBody>
      </xdr:sp>
      <xdr:sp macro="" textlink="">
        <xdr:nvSpPr>
          <xdr:cNvPr id="4" name="타원 3"/>
          <xdr:cNvSpPr/>
        </xdr:nvSpPr>
        <xdr:spPr>
          <a:xfrm>
            <a:off x="2180743" y="1979788"/>
            <a:ext cx="1410182" cy="1410182"/>
          </a:xfrm>
          <a:prstGeom prst="ellipse">
            <a:avLst/>
          </a:prstGeom>
          <a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 l="-7000" r="-7000"/>
            </a:stretch>
          </a:blipFill>
          <a:ln w="3810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>
              <a:hueOff val="0"/>
              <a:satOff val="0"/>
              <a:lumOff val="0"/>
              <a:alphaOff val="0"/>
            </a:schemeClr>
          </a:fontRef>
        </xdr:style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380518</xdr:colOff>
      <xdr:row>9</xdr:row>
      <xdr:rowOff>27163</xdr:rowOff>
    </xdr:from>
    <xdr:to>
      <xdr:col>11</xdr:col>
      <xdr:colOff>9525</xdr:colOff>
      <xdr:row>13</xdr:row>
      <xdr:rowOff>27645</xdr:rowOff>
    </xdr:to>
    <xdr:grpSp>
      <xdr:nvGrpSpPr>
        <xdr:cNvPr id="2" name="그룹 1"/>
        <xdr:cNvGrpSpPr/>
      </xdr:nvGrpSpPr>
      <xdr:grpSpPr>
        <a:xfrm>
          <a:off x="1066318" y="1913113"/>
          <a:ext cx="6487007" cy="1410182"/>
          <a:chOff x="2180743" y="1979788"/>
          <a:chExt cx="6487007" cy="1410182"/>
        </a:xfrm>
      </xdr:grpSpPr>
      <xdr:sp macro="" textlink="">
        <xdr:nvSpPr>
          <xdr:cNvPr id="3" name="자유형 2"/>
          <xdr:cNvSpPr/>
        </xdr:nvSpPr>
        <xdr:spPr>
          <a:xfrm>
            <a:off x="3088980" y="2133600"/>
            <a:ext cx="5578770" cy="1204911"/>
          </a:xfrm>
          <a:custGeom>
            <a:avLst/>
            <a:gdLst>
              <a:gd name="connsiteX0" fmla="*/ 0 w 3335631"/>
              <a:gd name="connsiteY0" fmla="*/ 0 h 1185856"/>
              <a:gd name="connsiteX1" fmla="*/ 2742703 w 3335631"/>
              <a:gd name="connsiteY1" fmla="*/ 0 h 1185856"/>
              <a:gd name="connsiteX2" fmla="*/ 3335631 w 3335631"/>
              <a:gd name="connsiteY2" fmla="*/ 592928 h 1185856"/>
              <a:gd name="connsiteX3" fmla="*/ 2742703 w 3335631"/>
              <a:gd name="connsiteY3" fmla="*/ 1185856 h 1185856"/>
              <a:gd name="connsiteX4" fmla="*/ 0 w 3335631"/>
              <a:gd name="connsiteY4" fmla="*/ 1185856 h 1185856"/>
              <a:gd name="connsiteX5" fmla="*/ 0 w 3335631"/>
              <a:gd name="connsiteY5" fmla="*/ 0 h 118585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3335631" h="1185856">
                <a:moveTo>
                  <a:pt x="3335631" y="1185855"/>
                </a:moveTo>
                <a:lnTo>
                  <a:pt x="592928" y="1185855"/>
                </a:lnTo>
                <a:lnTo>
                  <a:pt x="0" y="592928"/>
                </a:lnTo>
                <a:lnTo>
                  <a:pt x="592928" y="1"/>
                </a:lnTo>
                <a:lnTo>
                  <a:pt x="3335631" y="1"/>
                </a:lnTo>
                <a:lnTo>
                  <a:pt x="3335631" y="1185855"/>
                </a:lnTo>
                <a:close/>
              </a:path>
            </a:pathLst>
          </a:custGeom>
          <a:solidFill>
            <a:schemeClr val="accent5">
              <a:lumMod val="75000"/>
            </a:schemeClr>
          </a:solidFill>
          <a:ln w="28575">
            <a:solidFill>
              <a:schemeClr val="bg1">
                <a:lumMod val="50000"/>
              </a:schemeClr>
            </a:solidFill>
          </a:ln>
        </xdr:spPr>
        <xdr:style>
          <a:lnRef idx="2">
            <a:scrgbClr r="0" g="0" b="0"/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71866" tIns="121920" rIns="227584" bIns="121921" numCol="1" spcCol="1270" anchor="ctr" anchorCtr="0">
            <a:noAutofit/>
          </a:bodyPr>
          <a:lstStyle/>
          <a:p>
            <a:pPr lvl="0" algn="ctr" defTabSz="142240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ko-KR" altLang="en-US" sz="3600" b="1" kern="1200">
                <a:latin typeface="+mj-ea"/>
                <a:ea typeface="+mj-ea"/>
              </a:rPr>
              <a:t>세출예산 사업내역서</a:t>
            </a:r>
          </a:p>
        </xdr:txBody>
      </xdr:sp>
      <xdr:sp macro="" textlink="">
        <xdr:nvSpPr>
          <xdr:cNvPr id="4" name="타원 3"/>
          <xdr:cNvSpPr/>
        </xdr:nvSpPr>
        <xdr:spPr>
          <a:xfrm>
            <a:off x="2180743" y="1979788"/>
            <a:ext cx="1410182" cy="1410182"/>
          </a:xfrm>
          <a:prstGeom prst="ellipse">
            <a:avLst/>
          </a:prstGeom>
          <a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 l="-7000" r="-7000"/>
            </a:stretch>
          </a:blipFill>
          <a:ln w="3810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>
              <a:hueOff val="0"/>
              <a:satOff val="0"/>
              <a:lumOff val="0"/>
              <a:alphaOff val="0"/>
            </a:schemeClr>
          </a:fontRef>
        </xdr:style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50857;&#50868;\&#50696;&#49328;&#54924;&#44228;\2006&#50868;&#50689;&#48372;&#51312;&#44552;&#44368;&#48512;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17&#45380;_&#52397;&#49548;&#45380;&#51116;&#45800;%20&#50696;&#49328;&#52509;&#44292;&#54364;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기별교부현황"/>
      <sheetName val="정산현황"/>
      <sheetName val="추산계좌(2분기)"/>
      <sheetName val="7월분지출결의서"/>
      <sheetName val="8월분지출결의서 "/>
      <sheetName val="9월분지출결의서 "/>
      <sheetName val="추산계좌(3분기)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예산총칙"/>
      <sheetName val="Sheet1"/>
    </sheet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M15"/>
  <sheetViews>
    <sheetView tabSelected="1" view="pageBreakPreview" zoomScale="115" zoomScaleNormal="70" zoomScaleSheetLayoutView="115" workbookViewId="0">
      <selection activeCell="K4" sqref="K4"/>
    </sheetView>
  </sheetViews>
  <sheetFormatPr defaultRowHeight="16.5"/>
  <sheetData>
    <row r="9" spans="1:13" ht="61.5" customHeight="1">
      <c r="A9" s="1872" t="s">
        <v>2323</v>
      </c>
      <c r="B9" s="1872"/>
      <c r="C9" s="1872"/>
      <c r="D9" s="1872"/>
      <c r="E9" s="1872"/>
      <c r="F9" s="1872"/>
      <c r="G9" s="1872"/>
      <c r="H9" s="1872"/>
      <c r="I9" s="1872"/>
      <c r="J9" s="1872"/>
      <c r="K9" s="1872"/>
      <c r="L9" s="1872"/>
      <c r="M9" s="1872"/>
    </row>
    <row r="15" spans="1:13" ht="69.75">
      <c r="L15" s="520"/>
    </row>
  </sheetData>
  <mergeCells count="1">
    <mergeCell ref="A9:M9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view="pageBreakPreview" zoomScale="130" zoomScaleNormal="100" zoomScaleSheetLayoutView="130" workbookViewId="0">
      <selection activeCell="H52" sqref="H52"/>
    </sheetView>
  </sheetViews>
  <sheetFormatPr defaultRowHeight="16.5"/>
  <cols>
    <col min="1" max="1" width="5.625" style="766" customWidth="1"/>
    <col min="2" max="2" width="38" style="787" customWidth="1"/>
    <col min="3" max="3" width="44.5" style="766" customWidth="1"/>
    <col min="4" max="4" width="5.625" style="766" customWidth="1"/>
    <col min="5" max="5" width="0.25" style="766" customWidth="1"/>
    <col min="6" max="6" width="9" style="766" hidden="1" customWidth="1"/>
    <col min="7" max="16384" width="9" style="766"/>
  </cols>
  <sheetData>
    <row r="1" spans="1:4" ht="45" customHeight="1">
      <c r="B1" s="1873" t="s">
        <v>2324</v>
      </c>
      <c r="C1" s="1873"/>
    </row>
    <row r="2" spans="1:4" ht="9.6" customHeight="1">
      <c r="A2" s="1874">
        <v>1</v>
      </c>
      <c r="B2" s="1875" t="s">
        <v>2325</v>
      </c>
      <c r="C2" s="783"/>
      <c r="D2" s="1876">
        <v>1</v>
      </c>
    </row>
    <row r="3" spans="1:4" ht="9.6" customHeight="1">
      <c r="A3" s="1874"/>
      <c r="B3" s="1875"/>
      <c r="C3" s="784"/>
      <c r="D3" s="1876"/>
    </row>
    <row r="4" spans="1:4" ht="9.6" customHeight="1">
      <c r="A4" s="1874">
        <v>2</v>
      </c>
      <c r="B4" s="1875" t="s">
        <v>2546</v>
      </c>
      <c r="C4" s="783"/>
      <c r="D4" s="1876">
        <v>5</v>
      </c>
    </row>
    <row r="5" spans="1:4" ht="9.6" customHeight="1">
      <c r="A5" s="1874"/>
      <c r="B5" s="1875"/>
      <c r="C5" s="784"/>
      <c r="D5" s="1876"/>
    </row>
    <row r="6" spans="1:4" ht="9.6" customHeight="1">
      <c r="A6" s="1874"/>
      <c r="B6" s="1877" t="s">
        <v>2547</v>
      </c>
      <c r="C6" s="783"/>
      <c r="D6" s="1876">
        <v>6</v>
      </c>
    </row>
    <row r="7" spans="1:4" ht="9.6" customHeight="1">
      <c r="A7" s="1874"/>
      <c r="B7" s="1877"/>
      <c r="C7" s="784"/>
      <c r="D7" s="1876"/>
    </row>
    <row r="8" spans="1:4" ht="9.6" customHeight="1">
      <c r="A8" s="1874"/>
      <c r="B8" s="1877" t="s">
        <v>2549</v>
      </c>
      <c r="C8" s="783"/>
      <c r="D8" s="1876">
        <v>7</v>
      </c>
    </row>
    <row r="9" spans="1:4" ht="9.6" customHeight="1">
      <c r="A9" s="1874"/>
      <c r="B9" s="1877"/>
      <c r="C9" s="784"/>
      <c r="D9" s="1876"/>
    </row>
    <row r="10" spans="1:4" ht="9.6" customHeight="1">
      <c r="A10" s="1874"/>
      <c r="B10" s="1877" t="s">
        <v>2550</v>
      </c>
      <c r="C10" s="783"/>
      <c r="D10" s="1876">
        <v>11</v>
      </c>
    </row>
    <row r="11" spans="1:4" ht="9.6" customHeight="1">
      <c r="A11" s="1874"/>
      <c r="B11" s="1877"/>
      <c r="C11" s="784"/>
      <c r="D11" s="1876"/>
    </row>
    <row r="12" spans="1:4" ht="9.6" customHeight="1">
      <c r="A12" s="1874"/>
      <c r="B12" s="1877" t="s">
        <v>2551</v>
      </c>
      <c r="C12" s="783"/>
      <c r="D12" s="1876">
        <v>17</v>
      </c>
    </row>
    <row r="13" spans="1:4" ht="9.6" customHeight="1">
      <c r="A13" s="1874"/>
      <c r="B13" s="1877"/>
      <c r="C13" s="784"/>
      <c r="D13" s="1876"/>
    </row>
    <row r="14" spans="1:4" ht="9.6" customHeight="1">
      <c r="A14" s="1780"/>
      <c r="B14" s="1877" t="s">
        <v>2567</v>
      </c>
      <c r="C14" s="783"/>
      <c r="D14" s="1876">
        <v>18</v>
      </c>
    </row>
    <row r="15" spans="1:4" ht="9.6" customHeight="1">
      <c r="A15" s="1780"/>
      <c r="B15" s="1877"/>
      <c r="C15" s="784"/>
      <c r="D15" s="1876"/>
    </row>
    <row r="16" spans="1:4" ht="9.6" hidden="1" customHeight="1">
      <c r="A16" s="1874">
        <v>3</v>
      </c>
      <c r="B16" s="1875" t="s">
        <v>2568</v>
      </c>
      <c r="C16" s="783"/>
      <c r="D16" s="1876">
        <v>22</v>
      </c>
    </row>
    <row r="17" spans="1:4" ht="9.6" hidden="1" customHeight="1">
      <c r="A17" s="1874"/>
      <c r="B17" s="1875"/>
      <c r="C17" s="784"/>
      <c r="D17" s="1876"/>
    </row>
    <row r="18" spans="1:4" s="785" customFormat="1" ht="9.6" hidden="1" customHeight="1">
      <c r="A18" s="1874">
        <v>4</v>
      </c>
      <c r="B18" s="1875" t="s">
        <v>2569</v>
      </c>
      <c r="C18" s="783"/>
      <c r="D18" s="1878">
        <v>42</v>
      </c>
    </row>
    <row r="19" spans="1:4" s="785" customFormat="1" ht="9.6" hidden="1" customHeight="1">
      <c r="A19" s="1874"/>
      <c r="B19" s="1875"/>
      <c r="C19" s="784"/>
      <c r="D19" s="1878"/>
    </row>
    <row r="20" spans="1:4" ht="9.6" hidden="1" customHeight="1">
      <c r="A20" s="782"/>
      <c r="B20" s="1877" t="s">
        <v>2548</v>
      </c>
      <c r="C20" s="783"/>
      <c r="D20" s="1876">
        <v>43</v>
      </c>
    </row>
    <row r="21" spans="1:4" ht="9.6" hidden="1" customHeight="1">
      <c r="A21" s="782"/>
      <c r="B21" s="1877"/>
      <c r="C21" s="784"/>
      <c r="D21" s="1876"/>
    </row>
    <row r="22" spans="1:4" ht="9.6" hidden="1" customHeight="1">
      <c r="A22" s="782"/>
      <c r="B22" s="1877" t="s">
        <v>2522</v>
      </c>
      <c r="C22" s="783"/>
      <c r="D22" s="1876">
        <v>50</v>
      </c>
    </row>
    <row r="23" spans="1:4" ht="9.6" hidden="1" customHeight="1">
      <c r="A23" s="782"/>
      <c r="B23" s="1877"/>
      <c r="C23" s="784"/>
      <c r="D23" s="1876"/>
    </row>
    <row r="24" spans="1:4" ht="9.6" hidden="1" customHeight="1">
      <c r="A24" s="782"/>
      <c r="B24" s="1877" t="s">
        <v>2521</v>
      </c>
      <c r="C24" s="783"/>
      <c r="D24" s="1876">
        <v>58</v>
      </c>
    </row>
    <row r="25" spans="1:4" ht="9.6" hidden="1" customHeight="1">
      <c r="A25" s="782"/>
      <c r="B25" s="1877"/>
      <c r="C25" s="784"/>
      <c r="D25" s="1876"/>
    </row>
    <row r="26" spans="1:4" ht="9.6" hidden="1" customHeight="1">
      <c r="A26" s="782"/>
      <c r="B26" s="1877" t="s">
        <v>2326</v>
      </c>
      <c r="C26" s="783"/>
      <c r="D26" s="1876">
        <v>62</v>
      </c>
    </row>
    <row r="27" spans="1:4" ht="9.6" hidden="1" customHeight="1">
      <c r="A27" s="782"/>
      <c r="B27" s="1877"/>
      <c r="C27" s="784"/>
      <c r="D27" s="1876"/>
    </row>
    <row r="28" spans="1:4" ht="9.6" hidden="1" customHeight="1">
      <c r="A28" s="782"/>
      <c r="B28" s="1877" t="s">
        <v>2327</v>
      </c>
      <c r="C28" s="783"/>
      <c r="D28" s="1876">
        <v>67</v>
      </c>
    </row>
    <row r="29" spans="1:4" ht="9.6" hidden="1" customHeight="1">
      <c r="A29" s="782"/>
      <c r="B29" s="1877"/>
      <c r="C29" s="784"/>
      <c r="D29" s="1876"/>
    </row>
    <row r="30" spans="1:4" ht="9.6" hidden="1" customHeight="1">
      <c r="A30" s="782"/>
      <c r="B30" s="1877" t="s">
        <v>2328</v>
      </c>
      <c r="C30" s="783"/>
      <c r="D30" s="1876">
        <v>73</v>
      </c>
    </row>
    <row r="31" spans="1:4" ht="9.6" hidden="1" customHeight="1">
      <c r="A31" s="782"/>
      <c r="B31" s="1877"/>
      <c r="C31" s="784"/>
      <c r="D31" s="1876"/>
    </row>
    <row r="32" spans="1:4" ht="9.6" hidden="1" customHeight="1">
      <c r="A32" s="782"/>
      <c r="B32" s="1877" t="s">
        <v>2448</v>
      </c>
      <c r="C32" s="786"/>
      <c r="D32" s="1876">
        <v>76</v>
      </c>
    </row>
    <row r="33" spans="1:4" ht="9.6" hidden="1" customHeight="1">
      <c r="A33" s="782"/>
      <c r="B33" s="1877"/>
      <c r="C33" s="784"/>
      <c r="D33" s="1876"/>
    </row>
    <row r="34" spans="1:4" ht="9.6" hidden="1" customHeight="1">
      <c r="A34" s="782"/>
      <c r="B34" s="1877" t="s">
        <v>2329</v>
      </c>
      <c r="C34" s="783"/>
      <c r="D34" s="1876">
        <v>84</v>
      </c>
    </row>
    <row r="35" spans="1:4" ht="9.6" hidden="1" customHeight="1">
      <c r="A35" s="782"/>
      <c r="B35" s="1877"/>
      <c r="C35" s="784"/>
      <c r="D35" s="1876"/>
    </row>
    <row r="36" spans="1:4" ht="9.6" hidden="1" customHeight="1">
      <c r="A36" s="782"/>
      <c r="B36" s="1877" t="s">
        <v>2330</v>
      </c>
      <c r="C36" s="783"/>
      <c r="D36" s="1876">
        <v>94</v>
      </c>
    </row>
    <row r="37" spans="1:4" ht="9.6" hidden="1" customHeight="1">
      <c r="A37" s="782"/>
      <c r="B37" s="1877"/>
      <c r="C37" s="784"/>
      <c r="D37" s="1876"/>
    </row>
    <row r="38" spans="1:4" ht="9.6" hidden="1" customHeight="1">
      <c r="A38" s="782"/>
      <c r="B38" s="1877" t="s">
        <v>2331</v>
      </c>
      <c r="C38" s="783"/>
      <c r="D38" s="1876">
        <v>101</v>
      </c>
    </row>
    <row r="39" spans="1:4" ht="9.6" hidden="1" customHeight="1">
      <c r="A39" s="782"/>
      <c r="B39" s="1877"/>
      <c r="C39" s="784"/>
      <c r="D39" s="1876"/>
    </row>
    <row r="40" spans="1:4" ht="9.6" hidden="1" customHeight="1">
      <c r="A40" s="782"/>
      <c r="B40" s="1877" t="s">
        <v>2513</v>
      </c>
      <c r="C40" s="783"/>
      <c r="D40" s="1876">
        <v>104</v>
      </c>
    </row>
    <row r="41" spans="1:4" ht="9.6" hidden="1" customHeight="1">
      <c r="A41" s="782"/>
      <c r="B41" s="1877"/>
      <c r="C41" s="784"/>
      <c r="D41" s="1876"/>
    </row>
    <row r="42" spans="1:4" ht="9.6" hidden="1" customHeight="1">
      <c r="A42" s="782"/>
      <c r="B42" s="1877" t="s">
        <v>2514</v>
      </c>
      <c r="C42" s="783"/>
      <c r="D42" s="1876">
        <v>107</v>
      </c>
    </row>
    <row r="43" spans="1:4" ht="9.6" hidden="1" customHeight="1">
      <c r="A43" s="782"/>
      <c r="B43" s="1877"/>
      <c r="C43" s="784"/>
      <c r="D43" s="1876"/>
    </row>
  </sheetData>
  <mergeCells count="51">
    <mergeCell ref="B38:B39"/>
    <mergeCell ref="D38:D39"/>
    <mergeCell ref="B40:B41"/>
    <mergeCell ref="D40:D41"/>
    <mergeCell ref="B42:B43"/>
    <mergeCell ref="D42:D43"/>
    <mergeCell ref="B30:B31"/>
    <mergeCell ref="D30:D31"/>
    <mergeCell ref="B34:B35"/>
    <mergeCell ref="D34:D35"/>
    <mergeCell ref="B36:B37"/>
    <mergeCell ref="D36:D37"/>
    <mergeCell ref="B32:B33"/>
    <mergeCell ref="D32:D33"/>
    <mergeCell ref="B24:B25"/>
    <mergeCell ref="D24:D25"/>
    <mergeCell ref="B26:B27"/>
    <mergeCell ref="D26:D27"/>
    <mergeCell ref="B28:B29"/>
    <mergeCell ref="D28:D29"/>
    <mergeCell ref="B22:B23"/>
    <mergeCell ref="D22:D23"/>
    <mergeCell ref="A12:A13"/>
    <mergeCell ref="B12:B13"/>
    <mergeCell ref="D12:D13"/>
    <mergeCell ref="A16:A17"/>
    <mergeCell ref="B16:B17"/>
    <mergeCell ref="D16:D17"/>
    <mergeCell ref="A18:A19"/>
    <mergeCell ref="B18:B19"/>
    <mergeCell ref="D18:D19"/>
    <mergeCell ref="B20:B21"/>
    <mergeCell ref="D20:D21"/>
    <mergeCell ref="B14:B15"/>
    <mergeCell ref="D14:D15"/>
    <mergeCell ref="A8:A9"/>
    <mergeCell ref="B8:B9"/>
    <mergeCell ref="D8:D9"/>
    <mergeCell ref="A10:A11"/>
    <mergeCell ref="B10:B11"/>
    <mergeCell ref="D10:D11"/>
    <mergeCell ref="B1:C1"/>
    <mergeCell ref="A2:A3"/>
    <mergeCell ref="B2:B3"/>
    <mergeCell ref="D2:D3"/>
    <mergeCell ref="A6:A7"/>
    <mergeCell ref="B6:B7"/>
    <mergeCell ref="D6:D7"/>
    <mergeCell ref="A4:A5"/>
    <mergeCell ref="B4:B5"/>
    <mergeCell ref="D4:D5"/>
  </mergeCells>
  <phoneticPr fontId="2" type="noConversion"/>
  <pageMargins left="1.9685039370078741" right="1.9685039370078741" top="0.78740157480314965" bottom="0.74803149606299213" header="0.78740157480314965" footer="0.39370078740157483"/>
  <pageSetup paperSize="9" scale="9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1:K12"/>
  <sheetViews>
    <sheetView view="pageBreakPreview" zoomScaleNormal="100" zoomScaleSheetLayoutView="100" workbookViewId="0">
      <selection activeCell="E27" sqref="E27"/>
    </sheetView>
  </sheetViews>
  <sheetFormatPr defaultRowHeight="16.5"/>
  <sheetData>
    <row r="11" spans="1:11" ht="61.5" customHeight="1">
      <c r="A11" s="1879"/>
      <c r="B11" s="1879"/>
      <c r="C11" s="1879"/>
      <c r="D11" s="1879"/>
      <c r="E11" s="1879"/>
      <c r="F11" s="1879"/>
      <c r="G11" s="1879"/>
      <c r="H11" s="1879"/>
      <c r="I11" s="1879"/>
      <c r="J11" s="1879"/>
      <c r="K11" s="1879"/>
    </row>
    <row r="12" spans="1:11" ht="16.5" customHeight="1"/>
  </sheetData>
  <mergeCells count="1">
    <mergeCell ref="A11:K11"/>
  </mergeCells>
  <phoneticPr fontId="2" type="noConversion"/>
  <printOptions horizontalCentered="1"/>
  <pageMargins left="0.78740157480314965" right="0.78740157480314965" top="0.78740157480314965" bottom="0.78740157480314965" header="0.78740157480314965" footer="0.78740157480314965"/>
  <pageSetup paperSize="9" orientation="landscape" useFirstPageNumber="1" r:id="rId1"/>
  <headerFooter scaleWithDoc="0"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/>
  </sheetPr>
  <dimension ref="B1:E87"/>
  <sheetViews>
    <sheetView view="pageBreakPreview" topLeftCell="A22" zoomScaleNormal="100" zoomScaleSheetLayoutView="100" workbookViewId="0">
      <selection activeCell="C25" sqref="C25"/>
    </sheetView>
  </sheetViews>
  <sheetFormatPr defaultColWidth="9" defaultRowHeight="16.5"/>
  <cols>
    <col min="1" max="1" width="15.125" style="523" customWidth="1"/>
    <col min="2" max="2" width="20.125" style="523" customWidth="1"/>
    <col min="3" max="3" width="17.375" style="523" customWidth="1"/>
    <col min="4" max="4" width="28" style="523" customWidth="1"/>
    <col min="5" max="5" width="20.125" style="523" customWidth="1"/>
    <col min="6" max="16384" width="9" style="523"/>
  </cols>
  <sheetData>
    <row r="1" spans="2:5" ht="41.25" customHeight="1">
      <c r="B1" s="522" t="s">
        <v>2426</v>
      </c>
    </row>
    <row r="3" spans="2:5" ht="17.25">
      <c r="B3" s="524" t="s">
        <v>2517</v>
      </c>
    </row>
    <row r="4" spans="2:5" ht="17.25">
      <c r="B4" s="524"/>
    </row>
    <row r="6" spans="2:5" s="525" customFormat="1" ht="17.25">
      <c r="B6" s="524" t="s">
        <v>2419</v>
      </c>
    </row>
    <row r="7" spans="2:5" s="525" customFormat="1" ht="19.149999999999999" customHeight="1">
      <c r="B7" s="1881" t="s">
        <v>2425</v>
      </c>
      <c r="C7" s="1881"/>
      <c r="D7" s="1881"/>
      <c r="E7" s="1881"/>
    </row>
    <row r="8" spans="2:5" ht="19.149999999999999" customHeight="1">
      <c r="B8" s="1881"/>
      <c r="C8" s="1881"/>
      <c r="D8" s="1881"/>
      <c r="E8" s="1881"/>
    </row>
    <row r="9" spans="2:5">
      <c r="B9" s="1881" t="s">
        <v>2420</v>
      </c>
      <c r="C9" s="1881"/>
      <c r="D9" s="1881"/>
      <c r="E9" s="1881"/>
    </row>
    <row r="10" spans="2:5">
      <c r="B10" s="1881"/>
      <c r="C10" s="1881"/>
      <c r="D10" s="1881"/>
      <c r="E10" s="1881"/>
    </row>
    <row r="11" spans="2:5">
      <c r="B11" s="1881" t="s">
        <v>2421</v>
      </c>
      <c r="C11" s="1881"/>
      <c r="D11" s="1881"/>
      <c r="E11" s="1881"/>
    </row>
    <row r="12" spans="2:5" s="525" customFormat="1">
      <c r="B12" s="1881"/>
      <c r="C12" s="1881"/>
      <c r="D12" s="1881"/>
      <c r="E12" s="1881"/>
    </row>
    <row r="13" spans="2:5" s="525" customFormat="1">
      <c r="B13" s="1881" t="s">
        <v>2422</v>
      </c>
      <c r="C13" s="1881"/>
      <c r="D13" s="1881"/>
      <c r="E13" s="1881"/>
    </row>
    <row r="14" spans="2:5" s="525" customFormat="1">
      <c r="B14" s="1881"/>
      <c r="C14" s="1881"/>
      <c r="D14" s="1881"/>
      <c r="E14" s="1881"/>
    </row>
    <row r="15" spans="2:5" s="525" customFormat="1">
      <c r="B15" s="1881" t="s">
        <v>2423</v>
      </c>
      <c r="C15" s="1881"/>
      <c r="D15" s="1881"/>
      <c r="E15" s="1881"/>
    </row>
    <row r="16" spans="2:5" s="525" customFormat="1">
      <c r="B16" s="1881"/>
      <c r="C16" s="1881"/>
      <c r="D16" s="1881"/>
      <c r="E16" s="1881"/>
    </row>
    <row r="17" spans="2:5" s="525" customFormat="1">
      <c r="B17" s="1881" t="s">
        <v>2424</v>
      </c>
      <c r="C17" s="1881"/>
      <c r="D17" s="1881"/>
      <c r="E17" s="1881"/>
    </row>
    <row r="18" spans="2:5" s="525" customFormat="1">
      <c r="B18" s="1881"/>
      <c r="C18" s="1881"/>
      <c r="D18" s="1881"/>
      <c r="E18" s="1881"/>
    </row>
    <row r="21" spans="2:5" ht="17.25">
      <c r="B21" s="524" t="s">
        <v>2364</v>
      </c>
    </row>
    <row r="23" spans="2:5">
      <c r="B23" s="1880" t="s">
        <v>2365</v>
      </c>
      <c r="C23" s="1880"/>
      <c r="D23" s="1880"/>
      <c r="E23" s="1880"/>
    </row>
    <row r="24" spans="2:5">
      <c r="B24" s="523" t="s">
        <v>2366</v>
      </c>
      <c r="D24" s="526">
        <f>+SUM(D25:D27)</f>
        <v>8717874000</v>
      </c>
      <c r="E24" s="523" t="s">
        <v>2367</v>
      </c>
    </row>
    <row r="25" spans="2:5">
      <c r="B25" s="523" t="s">
        <v>2368</v>
      </c>
      <c r="D25" s="526">
        <f>세입예산총괄표2!B44</f>
        <v>2413542000</v>
      </c>
      <c r="E25" s="523" t="s">
        <v>2369</v>
      </c>
    </row>
    <row r="26" spans="2:5">
      <c r="B26" s="523" t="s">
        <v>2370</v>
      </c>
      <c r="D26" s="526">
        <f>세입예산총괄표2!B8</f>
        <v>6304332000</v>
      </c>
      <c r="E26" s="523" t="s">
        <v>2367</v>
      </c>
    </row>
    <row r="27" spans="2:5">
      <c r="B27" s="523" t="s">
        <v>2371</v>
      </c>
      <c r="D27" s="526">
        <v>0</v>
      </c>
      <c r="E27" s="523" t="s">
        <v>2372</v>
      </c>
    </row>
    <row r="28" spans="2:5">
      <c r="B28" s="1880" t="s">
        <v>2373</v>
      </c>
      <c r="C28" s="1880"/>
      <c r="D28" s="1880"/>
      <c r="E28" s="1880"/>
    </row>
    <row r="29" spans="2:5">
      <c r="B29" s="523" t="s">
        <v>2374</v>
      </c>
      <c r="D29" s="527">
        <f>+SUM(D30:D34)</f>
        <v>8717874000</v>
      </c>
      <c r="E29" s="523" t="s">
        <v>2372</v>
      </c>
    </row>
    <row r="30" spans="2:5">
      <c r="B30" s="523" t="s">
        <v>2375</v>
      </c>
      <c r="D30" s="526">
        <f>세입세출요약총괄표5!I9+세입세출요약총괄표5!I10+세입세출요약총괄표5!I11+세입세출요약총괄표5!I12+세입세출요약총괄표5!I13+세입세출요약총괄표5!I16+세입세출요약총괄표5!I17+세입세출요약총괄표5!I18+세입세출요약총괄표5!I19</f>
        <v>8697874000</v>
      </c>
      <c r="E30" s="523" t="s">
        <v>2372</v>
      </c>
    </row>
    <row r="31" spans="2:5">
      <c r="B31" s="523" t="s">
        <v>2376</v>
      </c>
      <c r="D31" s="526"/>
      <c r="E31" s="523" t="s">
        <v>2367</v>
      </c>
    </row>
    <row r="32" spans="2:5">
      <c r="B32" s="523" t="s">
        <v>2377</v>
      </c>
      <c r="D32" s="526"/>
      <c r="E32" s="523" t="s">
        <v>2372</v>
      </c>
    </row>
    <row r="33" spans="2:5">
      <c r="B33" s="523" t="s">
        <v>2378</v>
      </c>
      <c r="D33" s="526"/>
      <c r="E33" s="523" t="s">
        <v>2369</v>
      </c>
    </row>
    <row r="34" spans="2:5">
      <c r="B34" s="523" t="s">
        <v>2379</v>
      </c>
      <c r="D34" s="526">
        <f>세입세출요약총괄표5!I14</f>
        <v>20000000</v>
      </c>
      <c r="E34" s="523" t="s">
        <v>2367</v>
      </c>
    </row>
    <row r="35" spans="2:5" ht="17.25">
      <c r="B35" s="524" t="s">
        <v>2380</v>
      </c>
    </row>
    <row r="37" spans="2:5">
      <c r="B37" s="1880" t="s">
        <v>2381</v>
      </c>
      <c r="C37" s="1880"/>
      <c r="D37" s="1880"/>
      <c r="E37" s="1880"/>
    </row>
    <row r="38" spans="2:5">
      <c r="B38" s="523" t="s">
        <v>2382</v>
      </c>
      <c r="D38" s="526">
        <f>+SUM(D39:D44)</f>
        <v>457014000</v>
      </c>
      <c r="E38" s="523" t="s">
        <v>2372</v>
      </c>
    </row>
    <row r="39" spans="2:5">
      <c r="B39" s="523" t="s">
        <v>2383</v>
      </c>
      <c r="D39" s="526"/>
      <c r="E39" s="523" t="s">
        <v>2372</v>
      </c>
    </row>
    <row r="40" spans="2:5">
      <c r="B40" s="523" t="s">
        <v>2384</v>
      </c>
      <c r="D40" s="526"/>
      <c r="E40" s="523" t="s">
        <v>2367</v>
      </c>
    </row>
    <row r="41" spans="2:5">
      <c r="B41" s="523" t="s">
        <v>2385</v>
      </c>
      <c r="D41" s="526"/>
      <c r="E41" s="523" t="s">
        <v>2367</v>
      </c>
    </row>
    <row r="42" spans="2:5">
      <c r="B42" s="523" t="s">
        <v>2386</v>
      </c>
      <c r="D42" s="526"/>
      <c r="E42" s="523" t="s">
        <v>2372</v>
      </c>
    </row>
    <row r="43" spans="2:5">
      <c r="B43" s="523" t="s">
        <v>2387</v>
      </c>
      <c r="D43" s="526">
        <v>50004000</v>
      </c>
      <c r="E43" s="523" t="s">
        <v>2372</v>
      </c>
    </row>
    <row r="44" spans="2:5">
      <c r="B44" s="523" t="s">
        <v>2388</v>
      </c>
      <c r="D44" s="526">
        <f>세입세출요약총괄표5!B13+세입세출요약총괄표5!B19</f>
        <v>407010000</v>
      </c>
      <c r="E44" s="523" t="s">
        <v>2372</v>
      </c>
    </row>
    <row r="46" spans="2:5">
      <c r="B46" s="1880" t="s">
        <v>2389</v>
      </c>
      <c r="C46" s="1880"/>
      <c r="D46" s="1880"/>
      <c r="E46" s="1880"/>
    </row>
    <row r="47" spans="2:5">
      <c r="B47" s="523" t="s">
        <v>2390</v>
      </c>
      <c r="D47" s="526">
        <f>+SUM(D48:D54)</f>
        <v>448253000</v>
      </c>
      <c r="E47" s="523" t="s">
        <v>2372</v>
      </c>
    </row>
    <row r="48" spans="2:5">
      <c r="B48" s="523" t="s">
        <v>2383</v>
      </c>
      <c r="D48" s="526"/>
      <c r="E48" s="523" t="s">
        <v>2367</v>
      </c>
    </row>
    <row r="49" spans="2:5">
      <c r="B49" s="523" t="s">
        <v>2391</v>
      </c>
      <c r="D49" s="526">
        <f>세입세출요약총괄표5!I12</f>
        <v>378249000</v>
      </c>
      <c r="E49" s="523" t="s">
        <v>2372</v>
      </c>
    </row>
    <row r="50" spans="2:5">
      <c r="B50" s="523" t="s">
        <v>2392</v>
      </c>
      <c r="D50" s="526"/>
      <c r="E50" s="523" t="s">
        <v>2367</v>
      </c>
    </row>
    <row r="51" spans="2:5">
      <c r="B51" s="523" t="s">
        <v>2393</v>
      </c>
      <c r="D51" s="526"/>
      <c r="E51" s="523" t="s">
        <v>2369</v>
      </c>
    </row>
    <row r="52" spans="2:5">
      <c r="B52" s="523" t="s">
        <v>2394</v>
      </c>
      <c r="D52" s="526"/>
      <c r="E52" s="523" t="s">
        <v>2367</v>
      </c>
    </row>
    <row r="53" spans="2:5">
      <c r="B53" s="523" t="s">
        <v>2395</v>
      </c>
      <c r="D53" s="526">
        <v>50004000</v>
      </c>
      <c r="E53" s="523" t="s">
        <v>2367</v>
      </c>
    </row>
    <row r="54" spans="2:5">
      <c r="B54" s="523" t="s">
        <v>2396</v>
      </c>
      <c r="D54" s="526">
        <f>세입세출요약총괄표5!I14</f>
        <v>20000000</v>
      </c>
      <c r="E54" s="523" t="s">
        <v>2367</v>
      </c>
    </row>
    <row r="56" spans="2:5" ht="17.25">
      <c r="B56" s="524" t="s">
        <v>2397</v>
      </c>
    </row>
    <row r="63" spans="2:5" ht="17.25">
      <c r="B63" s="524" t="s">
        <v>2398</v>
      </c>
    </row>
    <row r="64" spans="2:5">
      <c r="B64" s="523" t="s">
        <v>2399</v>
      </c>
    </row>
    <row r="71" spans="2:5" ht="17.25">
      <c r="B71" s="524" t="s">
        <v>2400</v>
      </c>
    </row>
    <row r="73" spans="2:5" ht="17.25">
      <c r="B73" s="524" t="s">
        <v>2401</v>
      </c>
    </row>
    <row r="75" spans="2:5" ht="17.25">
      <c r="B75" s="524" t="s">
        <v>2402</v>
      </c>
    </row>
    <row r="76" spans="2:5">
      <c r="B76" s="523" t="s">
        <v>2403</v>
      </c>
    </row>
    <row r="77" spans="2:5">
      <c r="B77" s="523" t="s">
        <v>2404</v>
      </c>
      <c r="D77" s="526">
        <f>세입세출요약총괄표5!I9+세입세출요약총괄표5!I16</f>
        <v>3338312000</v>
      </c>
      <c r="E77" s="523" t="s">
        <v>2369</v>
      </c>
    </row>
    <row r="78" spans="2:5">
      <c r="B78" s="523" t="s">
        <v>2405</v>
      </c>
      <c r="D78" s="526">
        <v>88080000</v>
      </c>
      <c r="E78" s="523" t="s">
        <v>2367</v>
      </c>
    </row>
    <row r="80" spans="2:5" ht="17.25">
      <c r="B80" s="524" t="s">
        <v>2406</v>
      </c>
    </row>
    <row r="87" spans="2:2" ht="17.25">
      <c r="B87" s="524" t="s">
        <v>2407</v>
      </c>
    </row>
  </sheetData>
  <mergeCells count="10">
    <mergeCell ref="B23:E23"/>
    <mergeCell ref="B28:E28"/>
    <mergeCell ref="B37:E37"/>
    <mergeCell ref="B46:E46"/>
    <mergeCell ref="B7:E8"/>
    <mergeCell ref="B9:E10"/>
    <mergeCell ref="B11:E12"/>
    <mergeCell ref="B13:E14"/>
    <mergeCell ref="B15:E16"/>
    <mergeCell ref="B17:E18"/>
  </mergeCells>
  <phoneticPr fontId="2" type="noConversion"/>
  <printOptions horizontalCentered="1"/>
  <pageMargins left="1.1811023622047245" right="1.1811023622047245" top="0.78740157480314965" bottom="0.78740157480314965" header="0.78740157480314965" footer="0.39370078740157483"/>
  <pageSetup paperSize="9" scale="80" firstPageNumber="2" orientation="landscape" useFirstPageNumber="1" r:id="rId1"/>
  <headerFooter scaleWithDoc="0" alignWithMargins="0">
    <oddFooter>&amp;C&amp;P</oddFooter>
  </headerFooter>
  <rowBreaks count="2" manualBreakCount="2">
    <brk id="34" max="5" man="1"/>
    <brk id="69" max="5" man="1"/>
  </row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1:A12"/>
  <sheetViews>
    <sheetView view="pageBreakPreview" zoomScaleNormal="100" zoomScaleSheetLayoutView="100" workbookViewId="0">
      <selection activeCell="G20" sqref="G20"/>
    </sheetView>
  </sheetViews>
  <sheetFormatPr defaultRowHeight="16.5"/>
  <sheetData>
    <row r="11" ht="61.5" customHeight="1"/>
    <row r="12" ht="16.5" customHeight="1"/>
  </sheetData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firstPageNumber="5" orientation="landscape" useFirstPageNumber="1" r:id="rId1"/>
  <headerFooter scaleWithDoc="0" alignWithMargins="0">
    <oddFooter>&amp;C&amp;P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20"/>
  <sheetViews>
    <sheetView view="pageBreakPreview" zoomScaleNormal="100" zoomScaleSheetLayoutView="100" workbookViewId="0">
      <selection activeCell="D12" sqref="D12"/>
    </sheetView>
  </sheetViews>
  <sheetFormatPr defaultRowHeight="16.5"/>
  <cols>
    <col min="1" max="1" width="19.75" style="766" customWidth="1"/>
    <col min="2" max="3" width="15.625" style="765" customWidth="1"/>
    <col min="4" max="7" width="15.625" style="766" customWidth="1"/>
    <col min="8" max="10" width="9" style="766"/>
    <col min="11" max="12" width="11" style="767" bestFit="1" customWidth="1"/>
    <col min="13" max="16384" width="9" style="766"/>
  </cols>
  <sheetData>
    <row r="1" spans="1:12" s="763" customFormat="1" ht="50.1" customHeight="1">
      <c r="A1" s="1882" t="s">
        <v>2430</v>
      </c>
      <c r="B1" s="1882"/>
      <c r="C1" s="1882"/>
      <c r="D1" s="1882"/>
      <c r="E1" s="1882"/>
      <c r="F1" s="1882"/>
      <c r="G1" s="1882"/>
      <c r="K1" s="764"/>
      <c r="L1" s="764"/>
    </row>
    <row r="2" spans="1:12">
      <c r="A2" s="765"/>
      <c r="D2" s="765"/>
      <c r="E2" s="765"/>
      <c r="F2" s="765"/>
      <c r="G2" s="765"/>
    </row>
    <row r="3" spans="1:12" ht="20.100000000000001" customHeight="1" thickBot="1">
      <c r="F3" s="1883" t="s">
        <v>0</v>
      </c>
      <c r="G3" s="1883"/>
    </row>
    <row r="4" spans="1:12" ht="24.95" customHeight="1">
      <c r="A4" s="1884" t="s">
        <v>1</v>
      </c>
      <c r="B4" s="1886" t="s">
        <v>1617</v>
      </c>
      <c r="C4" s="1886"/>
      <c r="D4" s="1886" t="s">
        <v>1618</v>
      </c>
      <c r="E4" s="1886"/>
      <c r="F4" s="1886" t="s">
        <v>2</v>
      </c>
      <c r="G4" s="1887"/>
    </row>
    <row r="5" spans="1:12" ht="24.95" customHeight="1">
      <c r="A5" s="1885"/>
      <c r="B5" s="1739" t="s">
        <v>3</v>
      </c>
      <c r="C5" s="1739" t="s">
        <v>4</v>
      </c>
      <c r="D5" s="1739" t="s">
        <v>3</v>
      </c>
      <c r="E5" s="1739" t="s">
        <v>4</v>
      </c>
      <c r="F5" s="1739" t="s">
        <v>3</v>
      </c>
      <c r="G5" s="1740" t="s">
        <v>5</v>
      </c>
    </row>
    <row r="6" spans="1:12" ht="35.25" customHeight="1">
      <c r="A6" s="1755" t="s">
        <v>6</v>
      </c>
      <c r="B6" s="1756">
        <f>SUM(B7:B9)</f>
        <v>8717874000</v>
      </c>
      <c r="C6" s="1757">
        <f>SUM(C7:C9)</f>
        <v>1</v>
      </c>
      <c r="D6" s="1756">
        <f>ROUNDUP(SUM(D7:D9),-3)</f>
        <v>5825281000</v>
      </c>
      <c r="E6" s="1757">
        <f>SUM(E7:E9)</f>
        <v>1</v>
      </c>
      <c r="F6" s="1756">
        <f>B6-D6</f>
        <v>2892593000</v>
      </c>
      <c r="G6" s="1758">
        <f>+F6/D6</f>
        <v>0.49655853511616005</v>
      </c>
    </row>
    <row r="7" spans="1:12" ht="32.25" customHeight="1">
      <c r="A7" s="768" t="s">
        <v>7</v>
      </c>
      <c r="B7" s="769">
        <v>5999764000</v>
      </c>
      <c r="C7" s="770">
        <f>+B7/$B$6</f>
        <v>0.68821412192926856</v>
      </c>
      <c r="D7" s="769">
        <v>4323453000</v>
      </c>
      <c r="E7" s="770">
        <f>+D7/$D$6</f>
        <v>0.74218788758859877</v>
      </c>
      <c r="F7" s="769">
        <f>B7-D7</f>
        <v>1676311000</v>
      </c>
      <c r="G7" s="771">
        <f>+F7/D7</f>
        <v>0.38772504292286741</v>
      </c>
    </row>
    <row r="8" spans="1:12" ht="32.25" customHeight="1">
      <c r="A8" s="772" t="s">
        <v>8</v>
      </c>
      <c r="B8" s="773">
        <v>2311100000</v>
      </c>
      <c r="C8" s="774">
        <f>+B8/$B$6</f>
        <v>0.26509903676056801</v>
      </c>
      <c r="D8" s="773">
        <v>1312882000</v>
      </c>
      <c r="E8" s="774">
        <f>+D8/$D$6</f>
        <v>0.22537659556680614</v>
      </c>
      <c r="F8" s="773">
        <f>B8-D8</f>
        <v>998218000</v>
      </c>
      <c r="G8" s="775">
        <f>+F8/D8</f>
        <v>0.76032575661788337</v>
      </c>
    </row>
    <row r="9" spans="1:12" ht="32.25" customHeight="1" thickBot="1">
      <c r="A9" s="776" t="s">
        <v>9</v>
      </c>
      <c r="B9" s="777">
        <v>407010000</v>
      </c>
      <c r="C9" s="778">
        <f>+B9/$B$6</f>
        <v>4.6686841310163464E-2</v>
      </c>
      <c r="D9" s="777">
        <v>188946000</v>
      </c>
      <c r="E9" s="778">
        <f>+D9/$D$6</f>
        <v>3.2435516844595134E-2</v>
      </c>
      <c r="F9" s="777">
        <f>B9-D9</f>
        <v>218064000</v>
      </c>
      <c r="G9" s="779">
        <f>+F9/D9</f>
        <v>1.1541075227842876</v>
      </c>
    </row>
    <row r="11" spans="1:12">
      <c r="A11" s="767"/>
      <c r="B11" s="780"/>
      <c r="C11" s="780"/>
      <c r="D11" s="767"/>
      <c r="E11" s="767"/>
      <c r="F11" s="767"/>
      <c r="G11" s="767"/>
      <c r="H11" s="767"/>
      <c r="I11" s="767"/>
      <c r="J11" s="767"/>
    </row>
    <row r="12" spans="1:12">
      <c r="A12" s="767"/>
      <c r="B12" s="780"/>
      <c r="C12" s="780"/>
      <c r="D12" s="767"/>
      <c r="E12" s="767"/>
      <c r="F12" s="767"/>
      <c r="G12" s="767"/>
      <c r="H12" s="767"/>
      <c r="I12" s="767"/>
      <c r="J12" s="767"/>
    </row>
    <row r="13" spans="1:12">
      <c r="A13" s="767"/>
      <c r="B13" s="780"/>
      <c r="C13" s="780"/>
      <c r="D13" s="767"/>
      <c r="E13" s="767"/>
      <c r="F13" s="767"/>
      <c r="G13" s="767"/>
      <c r="H13" s="767"/>
      <c r="I13" s="767"/>
      <c r="J13" s="767"/>
    </row>
    <row r="14" spans="1:12">
      <c r="A14" s="767"/>
      <c r="B14" s="780"/>
      <c r="C14" s="780"/>
      <c r="D14" s="767"/>
      <c r="E14" s="767"/>
      <c r="F14" s="767"/>
      <c r="G14" s="767"/>
      <c r="H14" s="767"/>
      <c r="I14" s="767"/>
      <c r="J14" s="767"/>
    </row>
    <row r="15" spans="1:12">
      <c r="A15" s="767"/>
      <c r="B15" s="780"/>
      <c r="C15" s="780"/>
      <c r="D15" s="767"/>
      <c r="E15" s="767"/>
      <c r="F15" s="767"/>
      <c r="G15" s="767"/>
      <c r="H15" s="767"/>
      <c r="I15" s="767"/>
      <c r="J15" s="767"/>
    </row>
    <row r="16" spans="1:12">
      <c r="A16" s="767"/>
      <c r="B16" s="780"/>
      <c r="C16" s="780"/>
      <c r="D16" s="767"/>
      <c r="E16" s="767"/>
      <c r="F16" s="767"/>
      <c r="G16" s="767"/>
      <c r="H16" s="767"/>
      <c r="I16" s="767"/>
      <c r="J16" s="767"/>
    </row>
    <row r="17" spans="4:4">
      <c r="D17" s="781"/>
    </row>
    <row r="20" spans="4:4">
      <c r="D20" s="781"/>
    </row>
  </sheetData>
  <mergeCells count="6">
    <mergeCell ref="A1:G1"/>
    <mergeCell ref="F3:G3"/>
    <mergeCell ref="A4:A5"/>
    <mergeCell ref="B4:C4"/>
    <mergeCell ref="D4:E4"/>
    <mergeCell ref="F4:G4"/>
  </mergeCells>
  <phoneticPr fontId="2" type="noConversion"/>
  <printOptions horizontalCentered="1"/>
  <pageMargins left="0.78740157480314965" right="0.78740157480314965" top="1.1811023622047245" bottom="0.78740157480314965" header="1.1811023622047245" footer="0.39370078740157483"/>
  <pageSetup paperSize="9" firstPageNumber="6" orientation="landscape" useFirstPageNumber="1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EB184"/>
  <sheetViews>
    <sheetView view="pageBreakPreview" zoomScale="85" zoomScaleNormal="100" zoomScaleSheetLayoutView="85" workbookViewId="0">
      <selection activeCell="AB18" sqref="AB18"/>
    </sheetView>
  </sheetViews>
  <sheetFormatPr defaultColWidth="9" defaultRowHeight="21.75" customHeight="1"/>
  <cols>
    <col min="1" max="1" width="30.625" style="759" customWidth="1"/>
    <col min="2" max="2" width="15.625" style="760" customWidth="1"/>
    <col min="3" max="3" width="10.625" style="760" customWidth="1"/>
    <col min="4" max="4" width="15.625" style="760" customWidth="1"/>
    <col min="5" max="5" width="10.625" style="760" customWidth="1"/>
    <col min="6" max="6" width="15.625" style="761" customWidth="1"/>
    <col min="7" max="7" width="10.625" style="705" customWidth="1"/>
    <col min="8" max="8" width="6.25" style="705" hidden="1" customWidth="1"/>
    <col min="9" max="9" width="20.875" style="762" hidden="1" customWidth="1"/>
    <col min="10" max="11" width="0" style="705" hidden="1" customWidth="1"/>
    <col min="12" max="12" width="21" style="705" hidden="1" customWidth="1"/>
    <col min="13" max="13" width="10.25" style="705" hidden="1" customWidth="1"/>
    <col min="14" max="14" width="2.375" style="705" hidden="1" customWidth="1"/>
    <col min="15" max="15" width="15.625" style="705" hidden="1" customWidth="1"/>
    <col min="16" max="20" width="0" style="705" hidden="1" customWidth="1"/>
    <col min="21" max="16384" width="9" style="705"/>
  </cols>
  <sheetData>
    <row r="1" spans="1:132" s="598" customFormat="1" ht="34.5" customHeight="1">
      <c r="A1" s="1882" t="s">
        <v>2431</v>
      </c>
      <c r="B1" s="1882"/>
      <c r="C1" s="1882"/>
      <c r="D1" s="1882"/>
      <c r="E1" s="1882"/>
      <c r="F1" s="1882"/>
      <c r="G1" s="1882"/>
      <c r="H1" s="596"/>
      <c r="I1" s="720"/>
      <c r="J1" s="597"/>
      <c r="K1" s="597"/>
      <c r="L1" s="597"/>
      <c r="M1" s="597"/>
      <c r="N1" s="597"/>
      <c r="O1" s="597"/>
      <c r="P1" s="597"/>
      <c r="Q1" s="597"/>
      <c r="R1" s="597"/>
      <c r="S1" s="597"/>
      <c r="T1" s="597"/>
      <c r="U1" s="597"/>
      <c r="V1" s="597"/>
      <c r="W1" s="597"/>
      <c r="X1" s="597"/>
      <c r="Y1" s="597"/>
      <c r="Z1" s="597"/>
      <c r="AA1" s="597"/>
      <c r="AB1" s="597"/>
      <c r="AC1" s="597"/>
      <c r="AD1" s="597"/>
      <c r="AE1" s="597"/>
      <c r="AF1" s="597"/>
      <c r="AG1" s="597"/>
      <c r="AH1" s="597"/>
      <c r="AI1" s="597"/>
      <c r="AJ1" s="597"/>
      <c r="AK1" s="597"/>
      <c r="AL1" s="597"/>
      <c r="AM1" s="597"/>
      <c r="AN1" s="597"/>
      <c r="AO1" s="597"/>
      <c r="AP1" s="597"/>
      <c r="AQ1" s="597"/>
      <c r="AR1" s="597"/>
      <c r="AS1" s="597"/>
      <c r="AT1" s="597"/>
      <c r="AU1" s="597"/>
      <c r="AV1" s="597"/>
      <c r="AW1" s="597"/>
      <c r="AX1" s="597"/>
      <c r="AY1" s="597"/>
      <c r="AZ1" s="597"/>
      <c r="BA1" s="597"/>
      <c r="BB1" s="597"/>
      <c r="BC1" s="597"/>
      <c r="BD1" s="597"/>
      <c r="BE1" s="597"/>
      <c r="BF1" s="597"/>
      <c r="BG1" s="597"/>
      <c r="BH1" s="597"/>
      <c r="BI1" s="597"/>
      <c r="BJ1" s="597"/>
      <c r="BK1" s="597"/>
      <c r="BL1" s="597"/>
      <c r="BM1" s="597"/>
      <c r="BN1" s="597"/>
      <c r="BO1" s="597"/>
      <c r="BP1" s="597"/>
      <c r="BQ1" s="597"/>
      <c r="BR1" s="597"/>
      <c r="BS1" s="597"/>
      <c r="BT1" s="597"/>
      <c r="BU1" s="597"/>
      <c r="BV1" s="597"/>
      <c r="BW1" s="597"/>
      <c r="BX1" s="597"/>
      <c r="BY1" s="597"/>
      <c r="BZ1" s="597"/>
      <c r="CA1" s="597"/>
      <c r="CB1" s="597"/>
      <c r="CC1" s="597"/>
      <c r="CD1" s="597"/>
      <c r="CE1" s="597"/>
      <c r="CF1" s="597"/>
      <c r="CG1" s="597"/>
      <c r="CH1" s="597"/>
      <c r="CI1" s="597"/>
      <c r="CJ1" s="597"/>
      <c r="CK1" s="597"/>
      <c r="CL1" s="597"/>
      <c r="CM1" s="597"/>
      <c r="CN1" s="597"/>
      <c r="CO1" s="597"/>
      <c r="CP1" s="597"/>
      <c r="CQ1" s="597"/>
      <c r="CR1" s="597"/>
      <c r="CS1" s="597"/>
      <c r="CT1" s="597"/>
      <c r="CU1" s="597"/>
      <c r="CV1" s="597"/>
      <c r="CW1" s="597"/>
      <c r="CX1" s="597"/>
      <c r="CY1" s="597"/>
      <c r="CZ1" s="597"/>
      <c r="DA1" s="597"/>
      <c r="DB1" s="597"/>
      <c r="DC1" s="597"/>
      <c r="DD1" s="597"/>
      <c r="DE1" s="597"/>
      <c r="DF1" s="597"/>
      <c r="DG1" s="597"/>
      <c r="DH1" s="597"/>
      <c r="DI1" s="597"/>
      <c r="DJ1" s="597"/>
      <c r="DK1" s="597"/>
      <c r="DL1" s="597"/>
      <c r="DM1" s="597"/>
      <c r="DN1" s="597"/>
      <c r="DO1" s="597"/>
      <c r="DP1" s="597"/>
      <c r="DQ1" s="597"/>
      <c r="DR1" s="597"/>
      <c r="DS1" s="597"/>
      <c r="DT1" s="597"/>
      <c r="DU1" s="597"/>
      <c r="DV1" s="597"/>
      <c r="DW1" s="597"/>
      <c r="DX1" s="597"/>
      <c r="DY1" s="597"/>
      <c r="DZ1" s="597"/>
      <c r="EA1" s="597"/>
      <c r="EB1" s="597"/>
    </row>
    <row r="2" spans="1:132" s="598" customFormat="1" ht="17.25" customHeight="1">
      <c r="A2" s="1892"/>
      <c r="B2" s="1892"/>
      <c r="C2" s="1892"/>
      <c r="D2" s="1892"/>
      <c r="E2" s="1892"/>
      <c r="F2" s="1892"/>
      <c r="G2" s="1892"/>
      <c r="I2" s="720"/>
      <c r="J2" s="597"/>
      <c r="K2" s="597"/>
      <c r="L2" s="597"/>
      <c r="M2" s="597"/>
      <c r="N2" s="597"/>
      <c r="O2" s="597"/>
      <c r="P2" s="597"/>
      <c r="Q2" s="597"/>
      <c r="R2" s="597"/>
      <c r="S2" s="597"/>
      <c r="T2" s="597"/>
      <c r="U2" s="597"/>
      <c r="V2" s="597"/>
      <c r="W2" s="597"/>
      <c r="X2" s="597"/>
      <c r="Y2" s="597"/>
      <c r="Z2" s="597"/>
      <c r="AA2" s="597"/>
      <c r="AB2" s="597"/>
      <c r="AC2" s="597"/>
      <c r="AD2" s="597"/>
      <c r="AE2" s="597"/>
      <c r="AF2" s="597"/>
      <c r="AG2" s="597"/>
      <c r="AH2" s="597"/>
      <c r="AI2" s="597"/>
      <c r="AJ2" s="597"/>
      <c r="AK2" s="597"/>
      <c r="AL2" s="597"/>
      <c r="AM2" s="597"/>
      <c r="AN2" s="597"/>
      <c r="AO2" s="597"/>
      <c r="AP2" s="597"/>
      <c r="AQ2" s="597"/>
      <c r="AR2" s="597"/>
      <c r="AS2" s="597"/>
      <c r="AT2" s="597"/>
      <c r="AU2" s="597"/>
      <c r="AV2" s="597"/>
      <c r="AW2" s="597"/>
      <c r="AX2" s="597"/>
      <c r="AY2" s="597"/>
      <c r="AZ2" s="597"/>
      <c r="BA2" s="597"/>
      <c r="BB2" s="597"/>
      <c r="BC2" s="597"/>
      <c r="BD2" s="597"/>
      <c r="BE2" s="597"/>
      <c r="BF2" s="597"/>
      <c r="BG2" s="597"/>
      <c r="BH2" s="597"/>
      <c r="BI2" s="597"/>
      <c r="BJ2" s="597"/>
      <c r="BK2" s="597"/>
      <c r="BL2" s="597"/>
      <c r="BM2" s="597"/>
      <c r="BN2" s="597"/>
      <c r="BO2" s="597"/>
      <c r="BP2" s="597"/>
      <c r="BQ2" s="597"/>
      <c r="BR2" s="597"/>
      <c r="BS2" s="597"/>
      <c r="BT2" s="597"/>
      <c r="BU2" s="597"/>
      <c r="BV2" s="597"/>
      <c r="BW2" s="597"/>
      <c r="BX2" s="597"/>
      <c r="BY2" s="597"/>
      <c r="BZ2" s="597"/>
      <c r="CA2" s="597"/>
      <c r="CB2" s="597"/>
      <c r="CC2" s="597"/>
      <c r="CD2" s="597"/>
      <c r="CE2" s="597"/>
      <c r="CF2" s="597"/>
      <c r="CG2" s="597"/>
      <c r="CH2" s="597"/>
      <c r="CI2" s="597"/>
      <c r="CJ2" s="597"/>
      <c r="CK2" s="597"/>
      <c r="CL2" s="597"/>
      <c r="CM2" s="597"/>
      <c r="CN2" s="597"/>
      <c r="CO2" s="597"/>
      <c r="CP2" s="597"/>
      <c r="CQ2" s="597"/>
      <c r="CR2" s="597"/>
      <c r="CS2" s="597"/>
      <c r="CT2" s="597"/>
      <c r="CU2" s="597"/>
      <c r="CV2" s="597"/>
      <c r="CW2" s="597"/>
      <c r="CX2" s="597"/>
      <c r="CY2" s="597"/>
      <c r="CZ2" s="597"/>
      <c r="DA2" s="597"/>
      <c r="DB2" s="597"/>
      <c r="DC2" s="597"/>
      <c r="DD2" s="597"/>
      <c r="DE2" s="597"/>
      <c r="DF2" s="597"/>
      <c r="DG2" s="597"/>
      <c r="DH2" s="597"/>
      <c r="DI2" s="597"/>
      <c r="DJ2" s="597"/>
      <c r="DK2" s="597"/>
      <c r="DL2" s="597"/>
      <c r="DM2" s="597"/>
      <c r="DN2" s="597"/>
      <c r="DO2" s="597"/>
      <c r="DP2" s="597"/>
      <c r="DQ2" s="597"/>
      <c r="DR2" s="597"/>
      <c r="DS2" s="597"/>
      <c r="DT2" s="597"/>
      <c r="DU2" s="597"/>
      <c r="DV2" s="597"/>
      <c r="DW2" s="597"/>
      <c r="DX2" s="597"/>
      <c r="DY2" s="597"/>
      <c r="DZ2" s="597"/>
      <c r="EA2" s="597"/>
      <c r="EB2" s="597"/>
    </row>
    <row r="3" spans="1:132" s="598" customFormat="1" ht="21.75" customHeight="1" thickBot="1">
      <c r="A3" s="1893"/>
      <c r="B3" s="1893"/>
      <c r="C3" s="1893"/>
      <c r="D3" s="721"/>
      <c r="E3" s="721"/>
      <c r="F3" s="1894" t="s">
        <v>10</v>
      </c>
      <c r="G3" s="1894"/>
      <c r="H3" s="722"/>
      <c r="I3" s="720"/>
      <c r="J3" s="597"/>
      <c r="K3" s="597"/>
      <c r="L3" s="597"/>
      <c r="M3" s="597"/>
      <c r="N3" s="597"/>
      <c r="O3" s="597"/>
      <c r="P3" s="597"/>
      <c r="Q3" s="597"/>
      <c r="R3" s="597"/>
      <c r="S3" s="597"/>
      <c r="T3" s="597"/>
      <c r="U3" s="597"/>
      <c r="V3" s="597"/>
      <c r="W3" s="597"/>
      <c r="X3" s="597"/>
      <c r="Y3" s="597"/>
      <c r="Z3" s="597"/>
      <c r="AA3" s="597"/>
      <c r="AB3" s="597"/>
      <c r="AC3" s="597"/>
      <c r="AD3" s="597"/>
      <c r="AE3" s="597"/>
      <c r="AF3" s="597"/>
      <c r="AG3" s="597"/>
      <c r="AH3" s="597"/>
      <c r="AI3" s="597"/>
      <c r="AJ3" s="597"/>
      <c r="AK3" s="597"/>
      <c r="AL3" s="597"/>
      <c r="AM3" s="597"/>
      <c r="AN3" s="597"/>
      <c r="AO3" s="597"/>
      <c r="AP3" s="597"/>
      <c r="AQ3" s="597"/>
      <c r="AR3" s="597"/>
      <c r="AS3" s="597"/>
      <c r="AT3" s="597"/>
      <c r="AU3" s="597"/>
      <c r="AV3" s="597"/>
      <c r="AW3" s="597"/>
      <c r="AX3" s="597"/>
      <c r="AY3" s="597"/>
      <c r="AZ3" s="597"/>
      <c r="BA3" s="597"/>
      <c r="BB3" s="597"/>
      <c r="BC3" s="597"/>
      <c r="BD3" s="597"/>
      <c r="BE3" s="597"/>
      <c r="BF3" s="597"/>
      <c r="BG3" s="597"/>
      <c r="BH3" s="597"/>
      <c r="BI3" s="597"/>
      <c r="BJ3" s="597"/>
      <c r="BK3" s="597"/>
      <c r="BL3" s="597"/>
      <c r="BM3" s="597"/>
      <c r="BN3" s="597"/>
      <c r="BO3" s="597"/>
      <c r="BP3" s="597"/>
      <c r="BQ3" s="597"/>
      <c r="BR3" s="597"/>
      <c r="BS3" s="597"/>
      <c r="BT3" s="597"/>
      <c r="BU3" s="597"/>
      <c r="BV3" s="597"/>
      <c r="BW3" s="597"/>
      <c r="BX3" s="597"/>
      <c r="BY3" s="597"/>
      <c r="BZ3" s="597"/>
      <c r="CA3" s="597"/>
      <c r="CB3" s="597"/>
      <c r="CC3" s="597"/>
      <c r="CD3" s="597"/>
      <c r="CE3" s="597"/>
      <c r="CF3" s="597"/>
      <c r="CG3" s="597"/>
      <c r="CH3" s="597"/>
      <c r="CI3" s="597"/>
      <c r="CJ3" s="597"/>
      <c r="CK3" s="597"/>
      <c r="CL3" s="597"/>
      <c r="CM3" s="597"/>
      <c r="CN3" s="597"/>
      <c r="CO3" s="597"/>
      <c r="CP3" s="597"/>
      <c r="CQ3" s="597"/>
      <c r="CR3" s="597"/>
      <c r="CS3" s="597"/>
      <c r="CT3" s="597"/>
      <c r="CU3" s="597"/>
      <c r="CV3" s="597"/>
      <c r="CW3" s="597"/>
      <c r="CX3" s="597"/>
      <c r="CY3" s="597"/>
      <c r="CZ3" s="597"/>
      <c r="DA3" s="597"/>
      <c r="DB3" s="597"/>
      <c r="DC3" s="597"/>
      <c r="DD3" s="597"/>
      <c r="DE3" s="597"/>
      <c r="DF3" s="597"/>
      <c r="DG3" s="597"/>
      <c r="DH3" s="597"/>
      <c r="DI3" s="597"/>
      <c r="DJ3" s="597"/>
      <c r="DK3" s="597"/>
      <c r="DL3" s="597"/>
      <c r="DM3" s="597"/>
      <c r="DN3" s="597"/>
      <c r="DO3" s="597"/>
      <c r="DP3" s="597"/>
      <c r="DQ3" s="597"/>
      <c r="DR3" s="597"/>
      <c r="DS3" s="597"/>
      <c r="DT3" s="597"/>
      <c r="DU3" s="597"/>
      <c r="DV3" s="597"/>
      <c r="DW3" s="597"/>
      <c r="DX3" s="597"/>
      <c r="DY3" s="597"/>
      <c r="DZ3" s="597"/>
      <c r="EA3" s="597"/>
      <c r="EB3" s="597"/>
    </row>
    <row r="4" spans="1:132" s="598" customFormat="1" ht="20.100000000000001" customHeight="1">
      <c r="A4" s="1895" t="s">
        <v>11</v>
      </c>
      <c r="B4" s="1896"/>
      <c r="C4" s="1896"/>
      <c r="D4" s="1896"/>
      <c r="E4" s="1896"/>
      <c r="F4" s="1896"/>
      <c r="G4" s="1897"/>
      <c r="H4" s="601"/>
      <c r="I4" s="720"/>
      <c r="J4" s="597"/>
      <c r="K4" s="597"/>
      <c r="L4" s="597"/>
      <c r="M4" s="597"/>
      <c r="N4" s="597"/>
      <c r="O4" s="597"/>
      <c r="P4" s="597"/>
      <c r="Q4" s="597"/>
      <c r="R4" s="597"/>
      <c r="S4" s="597"/>
      <c r="T4" s="597"/>
      <c r="U4" s="597"/>
      <c r="V4" s="597"/>
      <c r="W4" s="597"/>
      <c r="X4" s="597"/>
      <c r="Y4" s="597"/>
      <c r="Z4" s="597"/>
      <c r="AA4" s="597"/>
      <c r="AB4" s="597"/>
      <c r="AC4" s="597"/>
      <c r="AD4" s="597"/>
      <c r="AE4" s="597"/>
      <c r="AF4" s="597"/>
      <c r="AG4" s="597"/>
      <c r="AH4" s="597"/>
      <c r="AI4" s="597"/>
      <c r="AJ4" s="597"/>
      <c r="AK4" s="597"/>
      <c r="AL4" s="597"/>
      <c r="AM4" s="597"/>
      <c r="AN4" s="597"/>
      <c r="AO4" s="597"/>
      <c r="AP4" s="597"/>
      <c r="AQ4" s="597"/>
      <c r="AR4" s="597"/>
      <c r="AS4" s="597"/>
      <c r="AT4" s="597"/>
      <c r="AU4" s="597"/>
      <c r="AV4" s="597"/>
      <c r="AW4" s="597"/>
      <c r="AX4" s="597"/>
      <c r="AY4" s="597"/>
      <c r="AZ4" s="597"/>
      <c r="BA4" s="597"/>
      <c r="BB4" s="597"/>
      <c r="BC4" s="597"/>
      <c r="BD4" s="597"/>
      <c r="BE4" s="597"/>
      <c r="BF4" s="597"/>
      <c r="BG4" s="597"/>
      <c r="BH4" s="597"/>
      <c r="BI4" s="597"/>
      <c r="BJ4" s="597"/>
      <c r="BK4" s="597"/>
      <c r="BL4" s="597"/>
      <c r="BM4" s="597"/>
      <c r="BN4" s="597"/>
      <c r="BO4" s="597"/>
      <c r="BP4" s="597"/>
      <c r="BQ4" s="597"/>
      <c r="BR4" s="597"/>
      <c r="BS4" s="597"/>
      <c r="BT4" s="597"/>
      <c r="BU4" s="597"/>
      <c r="BV4" s="597"/>
      <c r="BW4" s="597"/>
      <c r="BX4" s="597"/>
      <c r="BY4" s="597"/>
      <c r="BZ4" s="597"/>
      <c r="CA4" s="597"/>
      <c r="CB4" s="597"/>
      <c r="CC4" s="597"/>
      <c r="CD4" s="597"/>
      <c r="CE4" s="597"/>
      <c r="CF4" s="597"/>
      <c r="CG4" s="597"/>
      <c r="CH4" s="597"/>
      <c r="CI4" s="597"/>
      <c r="CJ4" s="597"/>
      <c r="CK4" s="597"/>
      <c r="CL4" s="597"/>
      <c r="CM4" s="597"/>
      <c r="CN4" s="597"/>
      <c r="CO4" s="597"/>
      <c r="CP4" s="597"/>
      <c r="CQ4" s="597"/>
      <c r="CR4" s="597"/>
      <c r="CS4" s="597"/>
      <c r="CT4" s="597"/>
      <c r="CU4" s="597"/>
      <c r="CV4" s="597"/>
      <c r="CW4" s="597"/>
      <c r="CX4" s="597"/>
      <c r="CY4" s="597"/>
      <c r="CZ4" s="597"/>
      <c r="DA4" s="597"/>
      <c r="DB4" s="597"/>
      <c r="DC4" s="597"/>
      <c r="DD4" s="597"/>
      <c r="DE4" s="597"/>
      <c r="DF4" s="597"/>
      <c r="DG4" s="597"/>
      <c r="DH4" s="597"/>
      <c r="DI4" s="597"/>
      <c r="DJ4" s="597"/>
      <c r="DK4" s="597"/>
      <c r="DL4" s="597"/>
      <c r="DM4" s="597"/>
      <c r="DN4" s="597"/>
      <c r="DO4" s="597"/>
      <c r="DP4" s="597"/>
      <c r="DQ4" s="597"/>
      <c r="DR4" s="597"/>
      <c r="DS4" s="597"/>
      <c r="DT4" s="597"/>
      <c r="DU4" s="597"/>
      <c r="DV4" s="597"/>
      <c r="DW4" s="597"/>
      <c r="DX4" s="597"/>
      <c r="DY4" s="597"/>
      <c r="DZ4" s="597"/>
      <c r="EA4" s="597"/>
      <c r="EB4" s="597"/>
    </row>
    <row r="5" spans="1:132" s="605" customFormat="1" ht="20.100000000000001" customHeight="1">
      <c r="A5" s="1888" t="s">
        <v>12</v>
      </c>
      <c r="B5" s="1890" t="s">
        <v>1619</v>
      </c>
      <c r="C5" s="1890"/>
      <c r="D5" s="1890" t="s">
        <v>1620</v>
      </c>
      <c r="E5" s="1890"/>
      <c r="F5" s="1890" t="s">
        <v>13</v>
      </c>
      <c r="G5" s="1891"/>
      <c r="H5" s="723"/>
      <c r="I5" s="629"/>
      <c r="J5" s="603"/>
      <c r="K5" s="603"/>
      <c r="L5" s="603"/>
      <c r="M5" s="603"/>
      <c r="N5" s="603"/>
      <c r="O5" s="603"/>
      <c r="P5" s="603"/>
      <c r="Q5" s="603"/>
      <c r="R5" s="603"/>
      <c r="S5" s="603"/>
      <c r="T5" s="603"/>
      <c r="U5" s="603"/>
      <c r="V5" s="603"/>
      <c r="W5" s="603"/>
      <c r="X5" s="603"/>
      <c r="Y5" s="603"/>
      <c r="Z5" s="603"/>
      <c r="AA5" s="603"/>
      <c r="AB5" s="603"/>
      <c r="AC5" s="603"/>
      <c r="AD5" s="603"/>
      <c r="AE5" s="603"/>
      <c r="AF5" s="603"/>
      <c r="AG5" s="603"/>
      <c r="AH5" s="603"/>
      <c r="AI5" s="603"/>
      <c r="AJ5" s="603"/>
      <c r="AK5" s="603"/>
      <c r="AL5" s="603"/>
      <c r="AM5" s="603"/>
      <c r="AN5" s="603"/>
      <c r="AO5" s="603"/>
      <c r="AP5" s="603"/>
      <c r="AQ5" s="603"/>
      <c r="AR5" s="603"/>
      <c r="AS5" s="603"/>
      <c r="AT5" s="603"/>
      <c r="AU5" s="603"/>
      <c r="AV5" s="603"/>
      <c r="AW5" s="603"/>
      <c r="AX5" s="603"/>
      <c r="AY5" s="603"/>
      <c r="AZ5" s="603"/>
      <c r="BA5" s="603"/>
      <c r="BB5" s="603"/>
      <c r="BC5" s="603"/>
      <c r="BD5" s="603"/>
      <c r="BE5" s="603"/>
      <c r="BF5" s="603"/>
      <c r="BG5" s="603"/>
      <c r="BH5" s="603"/>
      <c r="BI5" s="603"/>
      <c r="BJ5" s="603"/>
      <c r="BK5" s="603"/>
      <c r="BL5" s="603"/>
      <c r="BM5" s="603"/>
      <c r="BN5" s="603"/>
      <c r="BO5" s="603"/>
      <c r="BP5" s="603"/>
      <c r="BQ5" s="603"/>
      <c r="BR5" s="603"/>
      <c r="BS5" s="603"/>
      <c r="BT5" s="603"/>
      <c r="BU5" s="603"/>
      <c r="BV5" s="603"/>
      <c r="BW5" s="603"/>
      <c r="BX5" s="603"/>
      <c r="BY5" s="603"/>
      <c r="BZ5" s="603"/>
      <c r="CA5" s="603"/>
      <c r="CB5" s="603"/>
      <c r="CC5" s="603"/>
      <c r="CD5" s="603"/>
      <c r="CE5" s="603"/>
      <c r="CF5" s="603"/>
      <c r="CG5" s="603"/>
      <c r="CH5" s="603"/>
      <c r="CI5" s="603"/>
      <c r="CJ5" s="603"/>
      <c r="CK5" s="603"/>
      <c r="CL5" s="603"/>
      <c r="CM5" s="603"/>
      <c r="CN5" s="603"/>
      <c r="CO5" s="603"/>
      <c r="CP5" s="603"/>
      <c r="CQ5" s="603"/>
      <c r="CR5" s="603"/>
      <c r="CS5" s="603"/>
      <c r="CT5" s="603"/>
      <c r="CU5" s="603"/>
      <c r="CV5" s="603"/>
      <c r="CW5" s="603"/>
      <c r="CX5" s="603"/>
      <c r="CY5" s="603"/>
      <c r="CZ5" s="603"/>
      <c r="DA5" s="603"/>
      <c r="DB5" s="603"/>
      <c r="DC5" s="603"/>
      <c r="DD5" s="603"/>
      <c r="DE5" s="603"/>
      <c r="DF5" s="603"/>
      <c r="DG5" s="603"/>
      <c r="DH5" s="603"/>
      <c r="DI5" s="603"/>
      <c r="DJ5" s="603"/>
      <c r="DK5" s="603"/>
      <c r="DL5" s="603"/>
      <c r="DM5" s="603"/>
      <c r="DN5" s="603"/>
      <c r="DO5" s="603"/>
      <c r="DP5" s="603"/>
      <c r="DQ5" s="603"/>
      <c r="DR5" s="603"/>
      <c r="DS5" s="603"/>
      <c r="DT5" s="603"/>
      <c r="DU5" s="603"/>
      <c r="DV5" s="603"/>
      <c r="DW5" s="603"/>
      <c r="DX5" s="603"/>
      <c r="DY5" s="603"/>
      <c r="DZ5" s="603"/>
      <c r="EA5" s="603"/>
      <c r="EB5" s="603"/>
    </row>
    <row r="6" spans="1:132" s="605" customFormat="1" ht="20.100000000000001" customHeight="1">
      <c r="A6" s="1889"/>
      <c r="B6" s="1730" t="s">
        <v>14</v>
      </c>
      <c r="C6" s="1730" t="s">
        <v>15</v>
      </c>
      <c r="D6" s="1730" t="s">
        <v>16</v>
      </c>
      <c r="E6" s="1730" t="s">
        <v>17</v>
      </c>
      <c r="F6" s="1731" t="s">
        <v>18</v>
      </c>
      <c r="G6" s="1732" t="s">
        <v>19</v>
      </c>
      <c r="H6" s="723"/>
      <c r="I6" s="629"/>
      <c r="J6" s="603"/>
      <c r="K6" s="603"/>
      <c r="L6" s="603"/>
      <c r="M6" s="603"/>
      <c r="N6" s="603"/>
      <c r="O6" s="603"/>
      <c r="P6" s="603"/>
      <c r="Q6" s="603"/>
      <c r="R6" s="603"/>
      <c r="S6" s="603"/>
      <c r="T6" s="603"/>
      <c r="U6" s="603"/>
      <c r="V6" s="603"/>
      <c r="W6" s="603"/>
      <c r="X6" s="603"/>
      <c r="Y6" s="603"/>
      <c r="Z6" s="603"/>
      <c r="AA6" s="603"/>
      <c r="AB6" s="603"/>
      <c r="AC6" s="603"/>
      <c r="AD6" s="603"/>
      <c r="AE6" s="603"/>
      <c r="AF6" s="603"/>
      <c r="AG6" s="603"/>
      <c r="AH6" s="603"/>
      <c r="AI6" s="603"/>
      <c r="AJ6" s="603"/>
      <c r="AK6" s="603"/>
      <c r="AL6" s="603"/>
      <c r="AM6" s="603"/>
      <c r="AN6" s="603"/>
      <c r="AO6" s="603"/>
      <c r="AP6" s="603"/>
      <c r="AQ6" s="603"/>
      <c r="AR6" s="603"/>
      <c r="AS6" s="603"/>
      <c r="AT6" s="603"/>
      <c r="AU6" s="603"/>
      <c r="AV6" s="603"/>
      <c r="AW6" s="603"/>
      <c r="AX6" s="603"/>
      <c r="AY6" s="603"/>
      <c r="AZ6" s="603"/>
      <c r="BA6" s="603"/>
      <c r="BB6" s="603"/>
      <c r="BC6" s="603"/>
      <c r="BD6" s="603"/>
      <c r="BE6" s="603"/>
      <c r="BF6" s="603"/>
      <c r="BG6" s="603"/>
      <c r="BH6" s="603"/>
      <c r="BI6" s="603"/>
      <c r="BJ6" s="603"/>
      <c r="BK6" s="603"/>
      <c r="BL6" s="603"/>
      <c r="BM6" s="603"/>
      <c r="BN6" s="603"/>
      <c r="BO6" s="603"/>
      <c r="BP6" s="603"/>
      <c r="BQ6" s="603"/>
      <c r="BR6" s="603"/>
      <c r="BS6" s="603"/>
      <c r="BT6" s="603"/>
      <c r="BU6" s="603"/>
      <c r="BV6" s="603"/>
      <c r="BW6" s="603"/>
      <c r="BX6" s="603"/>
      <c r="BY6" s="603"/>
      <c r="BZ6" s="603"/>
      <c r="CA6" s="603"/>
      <c r="CB6" s="603"/>
      <c r="CC6" s="603"/>
      <c r="CD6" s="603"/>
      <c r="CE6" s="603"/>
      <c r="CF6" s="603"/>
      <c r="CG6" s="603"/>
      <c r="CH6" s="603"/>
      <c r="CI6" s="603"/>
      <c r="CJ6" s="603"/>
      <c r="CK6" s="603"/>
      <c r="CL6" s="603"/>
      <c r="CM6" s="603"/>
      <c r="CN6" s="603"/>
      <c r="CO6" s="603"/>
      <c r="CP6" s="603"/>
      <c r="CQ6" s="603"/>
      <c r="CR6" s="603"/>
      <c r="CS6" s="603"/>
      <c r="CT6" s="603"/>
      <c r="CU6" s="603"/>
      <c r="CV6" s="603"/>
      <c r="CW6" s="603"/>
      <c r="CX6" s="603"/>
      <c r="CY6" s="603"/>
      <c r="CZ6" s="603"/>
      <c r="DA6" s="603"/>
      <c r="DB6" s="603"/>
      <c r="DC6" s="603"/>
      <c r="DD6" s="603"/>
      <c r="DE6" s="603"/>
      <c r="DF6" s="603"/>
      <c r="DG6" s="603"/>
      <c r="DH6" s="603"/>
      <c r="DI6" s="603"/>
      <c r="DJ6" s="603"/>
      <c r="DK6" s="603"/>
      <c r="DL6" s="603"/>
      <c r="DM6" s="603"/>
      <c r="DN6" s="603"/>
      <c r="DO6" s="603"/>
      <c r="DP6" s="603"/>
      <c r="DQ6" s="603"/>
      <c r="DR6" s="603"/>
      <c r="DS6" s="603"/>
      <c r="DT6" s="603"/>
      <c r="DU6" s="603"/>
      <c r="DV6" s="603"/>
      <c r="DW6" s="603"/>
      <c r="DX6" s="603"/>
      <c r="DY6" s="603"/>
      <c r="DZ6" s="603"/>
      <c r="EA6" s="603"/>
      <c r="EB6" s="603"/>
    </row>
    <row r="7" spans="1:132" s="605" customFormat="1" ht="20.100000000000001" customHeight="1">
      <c r="A7" s="609" t="s">
        <v>2128</v>
      </c>
      <c r="B7" s="610">
        <f>SUM(B8,B44)</f>
        <v>8717874000</v>
      </c>
      <c r="C7" s="611">
        <f>+C8+C44</f>
        <v>1</v>
      </c>
      <c r="D7" s="610">
        <f>ROUNDUP(SUM(D8,D44),-3)</f>
        <v>5825281000</v>
      </c>
      <c r="E7" s="611">
        <f>+E8+E44</f>
        <v>1</v>
      </c>
      <c r="F7" s="610">
        <f>B7-D7</f>
        <v>2892593000</v>
      </c>
      <c r="G7" s="612">
        <f>+F7/D7</f>
        <v>0.49655853511616005</v>
      </c>
      <c r="H7" s="602"/>
      <c r="I7" s="724"/>
      <c r="J7" s="603"/>
      <c r="K7" s="603"/>
      <c r="L7" s="603"/>
      <c r="M7" s="603"/>
      <c r="N7" s="603"/>
      <c r="O7" s="603"/>
      <c r="P7" s="603"/>
      <c r="Q7" s="603"/>
      <c r="R7" s="603"/>
      <c r="S7" s="603"/>
      <c r="T7" s="603"/>
      <c r="U7" s="603"/>
      <c r="V7" s="603"/>
      <c r="W7" s="603"/>
      <c r="X7" s="603"/>
      <c r="Y7" s="603"/>
      <c r="Z7" s="603"/>
      <c r="AA7" s="603"/>
      <c r="AB7" s="603"/>
      <c r="AC7" s="603"/>
      <c r="AD7" s="603"/>
      <c r="AE7" s="603"/>
      <c r="AF7" s="603"/>
      <c r="AG7" s="603"/>
      <c r="AH7" s="603"/>
      <c r="AI7" s="603"/>
      <c r="AJ7" s="603"/>
      <c r="AK7" s="603"/>
      <c r="AL7" s="603"/>
      <c r="AM7" s="603"/>
      <c r="AN7" s="603"/>
      <c r="AO7" s="603"/>
      <c r="AP7" s="603"/>
      <c r="AQ7" s="603"/>
      <c r="AR7" s="603"/>
      <c r="AS7" s="603"/>
      <c r="AT7" s="603"/>
      <c r="AU7" s="603"/>
      <c r="AV7" s="603"/>
      <c r="AW7" s="603"/>
      <c r="AX7" s="603"/>
      <c r="AY7" s="603"/>
      <c r="AZ7" s="603"/>
      <c r="BA7" s="603"/>
      <c r="BB7" s="603"/>
      <c r="BC7" s="603"/>
      <c r="BD7" s="603"/>
      <c r="BE7" s="603"/>
      <c r="BF7" s="603"/>
      <c r="BG7" s="603"/>
      <c r="BH7" s="603"/>
      <c r="BI7" s="603"/>
      <c r="BJ7" s="603"/>
      <c r="BK7" s="603"/>
      <c r="BL7" s="603"/>
      <c r="BM7" s="603"/>
      <c r="BN7" s="603"/>
      <c r="BO7" s="603"/>
      <c r="BP7" s="603"/>
      <c r="BQ7" s="603"/>
      <c r="BR7" s="603"/>
      <c r="BS7" s="603"/>
      <c r="BT7" s="603"/>
      <c r="BU7" s="603"/>
      <c r="BV7" s="603"/>
      <c r="BW7" s="603"/>
      <c r="BX7" s="603"/>
      <c r="BY7" s="603"/>
      <c r="BZ7" s="603"/>
      <c r="CA7" s="603"/>
      <c r="CB7" s="603"/>
      <c r="CC7" s="603"/>
      <c r="CD7" s="603"/>
      <c r="CE7" s="603"/>
      <c r="CF7" s="603"/>
      <c r="CG7" s="603"/>
      <c r="CH7" s="603"/>
      <c r="CI7" s="603"/>
      <c r="CJ7" s="603"/>
      <c r="CK7" s="603"/>
      <c r="CL7" s="603"/>
      <c r="CM7" s="603"/>
      <c r="CN7" s="603"/>
      <c r="CO7" s="603"/>
      <c r="CP7" s="603"/>
      <c r="CQ7" s="603"/>
      <c r="CR7" s="603"/>
      <c r="CS7" s="603"/>
      <c r="CT7" s="603"/>
      <c r="CU7" s="603"/>
      <c r="CV7" s="603"/>
      <c r="CW7" s="603"/>
      <c r="CX7" s="603"/>
      <c r="CY7" s="603"/>
      <c r="CZ7" s="603"/>
      <c r="DA7" s="603"/>
      <c r="DB7" s="603"/>
      <c r="DC7" s="603"/>
      <c r="DD7" s="603"/>
      <c r="DE7" s="603"/>
      <c r="DF7" s="603"/>
      <c r="DG7" s="603"/>
      <c r="DH7" s="603"/>
      <c r="DI7" s="603"/>
      <c r="DJ7" s="603"/>
      <c r="DK7" s="603"/>
      <c r="DL7" s="603"/>
      <c r="DM7" s="603"/>
      <c r="DN7" s="603"/>
      <c r="DO7" s="603"/>
      <c r="DP7" s="603"/>
      <c r="DQ7" s="603"/>
      <c r="DR7" s="603"/>
      <c r="DS7" s="603"/>
      <c r="DT7" s="603"/>
      <c r="DU7" s="603"/>
      <c r="DV7" s="603"/>
      <c r="DW7" s="603"/>
      <c r="DX7" s="603"/>
      <c r="DY7" s="603"/>
      <c r="DZ7" s="603"/>
      <c r="EA7" s="603"/>
      <c r="EB7" s="603"/>
    </row>
    <row r="8" spans="1:132" s="605" customFormat="1" ht="20.100000000000001" customHeight="1">
      <c r="A8" s="613" t="s">
        <v>104</v>
      </c>
      <c r="B8" s="614">
        <f>SUM(B9,B17,B27,B40,B42)</f>
        <v>6304332000</v>
      </c>
      <c r="C8" s="1787">
        <f t="shared" ref="C8:C15" si="0">+B8/$B$7</f>
        <v>0.72315016252815767</v>
      </c>
      <c r="D8" s="614">
        <f>SUM(D9,D17,D27,D40,D42)</f>
        <v>4411881000</v>
      </c>
      <c r="E8" s="1787">
        <f>+D8/$D$7</f>
        <v>0.75736792783043427</v>
      </c>
      <c r="F8" s="614">
        <f>SUM(F9,F17,F27,F40,F42)</f>
        <v>1892451000</v>
      </c>
      <c r="G8" s="616">
        <f>+F8/D8</f>
        <v>0.42894425302949013</v>
      </c>
      <c r="H8" s="602"/>
      <c r="I8" s="629"/>
      <c r="J8" s="603"/>
      <c r="K8" s="603"/>
      <c r="L8" s="603"/>
      <c r="M8" s="603"/>
      <c r="N8" s="603"/>
      <c r="O8" s="603"/>
      <c r="P8" s="603"/>
      <c r="Q8" s="603"/>
      <c r="R8" s="603"/>
      <c r="S8" s="603"/>
      <c r="T8" s="603"/>
      <c r="U8" s="603"/>
      <c r="V8" s="603"/>
      <c r="W8" s="603"/>
      <c r="X8" s="603"/>
      <c r="Y8" s="603"/>
      <c r="Z8" s="603"/>
      <c r="AA8" s="603"/>
      <c r="AB8" s="603"/>
      <c r="AC8" s="603"/>
      <c r="AD8" s="603"/>
      <c r="AE8" s="603"/>
      <c r="AF8" s="603"/>
      <c r="AG8" s="603"/>
      <c r="AH8" s="603"/>
      <c r="AI8" s="603"/>
      <c r="AJ8" s="603"/>
      <c r="AK8" s="603"/>
      <c r="AL8" s="603"/>
      <c r="AM8" s="603"/>
      <c r="AN8" s="603"/>
      <c r="AO8" s="603"/>
      <c r="AP8" s="603"/>
      <c r="AQ8" s="603"/>
      <c r="AR8" s="603"/>
      <c r="AS8" s="603"/>
      <c r="AT8" s="603"/>
      <c r="AU8" s="603"/>
      <c r="AV8" s="603"/>
      <c r="AW8" s="603"/>
      <c r="AX8" s="603"/>
      <c r="AY8" s="603"/>
      <c r="AZ8" s="603"/>
      <c r="BA8" s="603"/>
      <c r="BB8" s="603"/>
      <c r="BC8" s="603"/>
      <c r="BD8" s="603"/>
      <c r="BE8" s="603"/>
      <c r="BF8" s="603"/>
      <c r="BG8" s="603"/>
      <c r="BH8" s="603"/>
      <c r="BI8" s="603"/>
      <c r="BJ8" s="603"/>
      <c r="BK8" s="603"/>
      <c r="BL8" s="603"/>
      <c r="BM8" s="603"/>
      <c r="BN8" s="603"/>
      <c r="BO8" s="603"/>
      <c r="BP8" s="603"/>
      <c r="BQ8" s="603"/>
      <c r="BR8" s="603"/>
      <c r="BS8" s="603"/>
      <c r="BT8" s="603"/>
      <c r="BU8" s="603"/>
      <c r="BV8" s="603"/>
      <c r="BW8" s="603"/>
      <c r="BX8" s="603"/>
      <c r="BY8" s="603"/>
      <c r="BZ8" s="603"/>
      <c r="CA8" s="603"/>
      <c r="CB8" s="603"/>
      <c r="CC8" s="603"/>
      <c r="CD8" s="603"/>
      <c r="CE8" s="603"/>
      <c r="CF8" s="603"/>
      <c r="CG8" s="603"/>
      <c r="CH8" s="603"/>
      <c r="CI8" s="603"/>
      <c r="CJ8" s="603"/>
      <c r="CK8" s="603"/>
      <c r="CL8" s="603"/>
      <c r="CM8" s="603"/>
      <c r="CN8" s="603"/>
      <c r="CO8" s="603"/>
      <c r="CP8" s="603"/>
      <c r="CQ8" s="603"/>
      <c r="CR8" s="603"/>
      <c r="CS8" s="603"/>
      <c r="CT8" s="603"/>
      <c r="CU8" s="603"/>
      <c r="CV8" s="603"/>
      <c r="CW8" s="603"/>
      <c r="CX8" s="603"/>
      <c r="CY8" s="603"/>
      <c r="CZ8" s="603"/>
      <c r="DA8" s="603"/>
      <c r="DB8" s="603"/>
      <c r="DC8" s="603"/>
      <c r="DD8" s="603"/>
      <c r="DE8" s="603"/>
      <c r="DF8" s="603"/>
      <c r="DG8" s="603"/>
      <c r="DH8" s="603"/>
      <c r="DI8" s="603"/>
      <c r="DJ8" s="603"/>
      <c r="DK8" s="603"/>
      <c r="DL8" s="603"/>
      <c r="DM8" s="603"/>
      <c r="DN8" s="603"/>
      <c r="DO8" s="603"/>
      <c r="DP8" s="603"/>
      <c r="DQ8" s="603"/>
      <c r="DR8" s="603"/>
      <c r="DS8" s="603"/>
      <c r="DT8" s="603"/>
      <c r="DU8" s="603"/>
      <c r="DV8" s="603"/>
      <c r="DW8" s="603"/>
      <c r="DX8" s="603"/>
      <c r="DY8" s="603"/>
      <c r="DZ8" s="603"/>
      <c r="EA8" s="603"/>
      <c r="EB8" s="603"/>
    </row>
    <row r="9" spans="1:132" s="623" customFormat="1" ht="20.100000000000001" customHeight="1">
      <c r="A9" s="617" t="s">
        <v>20</v>
      </c>
      <c r="B9" s="688">
        <f>SUM(B10:B16)</f>
        <v>4598613000</v>
      </c>
      <c r="C9" s="619">
        <f t="shared" si="0"/>
        <v>0.52749248268557214</v>
      </c>
      <c r="D9" s="618">
        <f>SUM(D10:D16)</f>
        <v>2265578000</v>
      </c>
      <c r="E9" s="619">
        <f>+D9/$D$7</f>
        <v>0.3889216674697753</v>
      </c>
      <c r="F9" s="618">
        <f>SUM(F10:F16)</f>
        <v>2333035000</v>
      </c>
      <c r="G9" s="725">
        <f>+F9/D9</f>
        <v>1.0297747418098162</v>
      </c>
      <c r="H9" s="602"/>
      <c r="I9" s="726"/>
      <c r="J9" s="621"/>
      <c r="K9" s="621"/>
      <c r="L9" s="621"/>
      <c r="M9" s="621"/>
      <c r="N9" s="621"/>
      <c r="O9" s="621"/>
      <c r="P9" s="621"/>
      <c r="Q9" s="621"/>
      <c r="R9" s="621"/>
      <c r="S9" s="621"/>
      <c r="T9" s="621"/>
      <c r="U9" s="621"/>
      <c r="V9" s="621"/>
      <c r="W9" s="621"/>
      <c r="X9" s="621"/>
      <c r="Y9" s="621"/>
      <c r="Z9" s="621"/>
      <c r="AA9" s="621"/>
      <c r="AB9" s="621"/>
      <c r="AC9" s="621"/>
      <c r="AD9" s="621"/>
      <c r="AE9" s="621"/>
      <c r="AF9" s="621"/>
      <c r="AG9" s="621"/>
      <c r="AH9" s="621"/>
      <c r="AI9" s="621"/>
      <c r="AJ9" s="621"/>
      <c r="AK9" s="621"/>
      <c r="AL9" s="621"/>
      <c r="AM9" s="621"/>
      <c r="AN9" s="621"/>
      <c r="AO9" s="621"/>
      <c r="AP9" s="621"/>
      <c r="AQ9" s="621"/>
      <c r="AR9" s="621"/>
      <c r="AS9" s="621"/>
      <c r="AT9" s="621"/>
      <c r="AU9" s="621"/>
      <c r="AV9" s="621"/>
      <c r="AW9" s="621"/>
      <c r="AX9" s="621"/>
      <c r="AY9" s="621"/>
      <c r="AZ9" s="621"/>
      <c r="BA9" s="621"/>
      <c r="BB9" s="621"/>
      <c r="BC9" s="621"/>
      <c r="BD9" s="621"/>
      <c r="BE9" s="621"/>
      <c r="BF9" s="621"/>
      <c r="BG9" s="621"/>
      <c r="BH9" s="621"/>
      <c r="BI9" s="621"/>
      <c r="BJ9" s="621"/>
      <c r="BK9" s="621"/>
      <c r="BL9" s="621"/>
      <c r="BM9" s="621"/>
      <c r="BN9" s="621"/>
      <c r="BO9" s="621"/>
      <c r="BP9" s="621"/>
      <c r="BQ9" s="621"/>
      <c r="BR9" s="621"/>
      <c r="BS9" s="621"/>
      <c r="BT9" s="621"/>
      <c r="BU9" s="621"/>
      <c r="BV9" s="621"/>
      <c r="BW9" s="621"/>
      <c r="BX9" s="621"/>
      <c r="BY9" s="621"/>
      <c r="BZ9" s="621"/>
      <c r="CA9" s="621"/>
      <c r="CB9" s="621"/>
      <c r="CC9" s="621"/>
      <c r="CD9" s="621"/>
      <c r="CE9" s="621"/>
      <c r="CF9" s="621"/>
      <c r="CG9" s="621"/>
      <c r="CH9" s="621"/>
      <c r="CI9" s="621"/>
      <c r="CJ9" s="621"/>
      <c r="CK9" s="621"/>
      <c r="CL9" s="621"/>
      <c r="CM9" s="621"/>
      <c r="CN9" s="621"/>
      <c r="CO9" s="621"/>
      <c r="CP9" s="621"/>
      <c r="CQ9" s="621"/>
      <c r="CR9" s="621"/>
      <c r="CS9" s="621"/>
      <c r="CT9" s="621"/>
      <c r="CU9" s="621"/>
      <c r="CV9" s="621"/>
      <c r="CW9" s="621"/>
      <c r="CX9" s="621"/>
      <c r="CY9" s="621"/>
      <c r="CZ9" s="621"/>
      <c r="DA9" s="621"/>
      <c r="DB9" s="621"/>
      <c r="DC9" s="621"/>
      <c r="DD9" s="621"/>
      <c r="DE9" s="621"/>
      <c r="DF9" s="621"/>
      <c r="DG9" s="621"/>
      <c r="DH9" s="621"/>
      <c r="DI9" s="621"/>
      <c r="DJ9" s="621"/>
      <c r="DK9" s="621"/>
      <c r="DL9" s="621"/>
      <c r="DM9" s="621"/>
      <c r="DN9" s="621"/>
      <c r="DO9" s="621"/>
      <c r="DP9" s="621"/>
      <c r="DQ9" s="621"/>
      <c r="DR9" s="621"/>
      <c r="DS9" s="621"/>
      <c r="DT9" s="621"/>
      <c r="DU9" s="621"/>
      <c r="DV9" s="621"/>
      <c r="DW9" s="621"/>
      <c r="DX9" s="621"/>
      <c r="DY9" s="621"/>
      <c r="DZ9" s="621"/>
      <c r="EA9" s="621"/>
      <c r="EB9" s="621"/>
    </row>
    <row r="10" spans="1:132" s="605" customFormat="1" ht="20.100000000000001" customHeight="1">
      <c r="A10" s="624" t="s">
        <v>21</v>
      </c>
      <c r="B10" s="625">
        <f>'예산세입(사무국)'!M16</f>
        <v>1600000000</v>
      </c>
      <c r="C10" s="626">
        <f>+B10/$B$7</f>
        <v>0.18353098473320445</v>
      </c>
      <c r="D10" s="625">
        <f>ROUNDUP('예산세입(사무국)'!N16,-3)</f>
        <v>752528000</v>
      </c>
      <c r="E10" s="626">
        <f>+D10/$D$7</f>
        <v>0.12918312438490093</v>
      </c>
      <c r="F10" s="627">
        <f>+B10-D10</f>
        <v>847472000</v>
      </c>
      <c r="G10" s="628">
        <f>+F10/D10</f>
        <v>1.1261667339952799</v>
      </c>
      <c r="H10" s="602"/>
      <c r="I10" s="629"/>
      <c r="J10" s="603">
        <v>2018</v>
      </c>
      <c r="K10" s="603">
        <v>2017</v>
      </c>
      <c r="L10" s="603"/>
      <c r="M10" s="603" t="s">
        <v>2142</v>
      </c>
      <c r="N10" s="603"/>
      <c r="O10" s="603" t="s">
        <v>2145</v>
      </c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603"/>
      <c r="AJ10" s="603"/>
      <c r="AK10" s="603"/>
      <c r="AL10" s="603"/>
      <c r="AM10" s="603"/>
      <c r="AN10" s="603"/>
      <c r="AO10" s="603"/>
      <c r="AP10" s="603"/>
      <c r="AQ10" s="603"/>
      <c r="AR10" s="603"/>
      <c r="AS10" s="603"/>
      <c r="AT10" s="603"/>
      <c r="AU10" s="603"/>
      <c r="AV10" s="603"/>
      <c r="AW10" s="603"/>
      <c r="AX10" s="603"/>
      <c r="AY10" s="603"/>
      <c r="AZ10" s="603"/>
      <c r="BA10" s="603"/>
      <c r="BB10" s="603"/>
      <c r="BC10" s="603"/>
      <c r="BD10" s="603"/>
      <c r="BE10" s="603"/>
      <c r="BF10" s="603"/>
      <c r="BG10" s="603"/>
      <c r="BH10" s="603"/>
      <c r="BI10" s="603"/>
      <c r="BJ10" s="603"/>
      <c r="BK10" s="603"/>
      <c r="BL10" s="603"/>
      <c r="BM10" s="603"/>
      <c r="BN10" s="603"/>
      <c r="BO10" s="603"/>
      <c r="BP10" s="603"/>
      <c r="BQ10" s="603"/>
      <c r="BR10" s="603"/>
      <c r="BS10" s="603"/>
      <c r="BT10" s="603"/>
      <c r="BU10" s="603"/>
      <c r="BV10" s="603"/>
      <c r="BW10" s="603"/>
      <c r="BX10" s="603"/>
      <c r="BY10" s="603"/>
      <c r="BZ10" s="603"/>
      <c r="CA10" s="603"/>
      <c r="CB10" s="603"/>
      <c r="CC10" s="603"/>
      <c r="CD10" s="603"/>
      <c r="CE10" s="603"/>
      <c r="CF10" s="603"/>
      <c r="CG10" s="603"/>
      <c r="CH10" s="603"/>
      <c r="CI10" s="603"/>
      <c r="CJ10" s="603"/>
      <c r="CK10" s="603"/>
      <c r="CL10" s="603"/>
      <c r="CM10" s="603"/>
      <c r="CN10" s="603"/>
      <c r="CO10" s="603"/>
      <c r="CP10" s="603"/>
      <c r="CQ10" s="603"/>
      <c r="CR10" s="603"/>
      <c r="CS10" s="603"/>
      <c r="CT10" s="603"/>
      <c r="CU10" s="603"/>
      <c r="CV10" s="603"/>
      <c r="CW10" s="603"/>
      <c r="CX10" s="603"/>
      <c r="CY10" s="603"/>
      <c r="CZ10" s="603"/>
      <c r="DA10" s="603"/>
      <c r="DB10" s="603"/>
      <c r="DC10" s="603"/>
      <c r="DD10" s="603"/>
      <c r="DE10" s="603"/>
      <c r="DF10" s="603"/>
      <c r="DG10" s="603"/>
      <c r="DH10" s="603"/>
      <c r="DI10" s="603"/>
      <c r="DJ10" s="603"/>
      <c r="DK10" s="603"/>
      <c r="DL10" s="603"/>
      <c r="DM10" s="603"/>
      <c r="DN10" s="603"/>
      <c r="DO10" s="603"/>
      <c r="DP10" s="603"/>
      <c r="DQ10" s="603"/>
      <c r="DR10" s="603"/>
      <c r="DS10" s="603"/>
      <c r="DT10" s="603"/>
      <c r="DU10" s="603"/>
      <c r="DV10" s="603"/>
      <c r="DW10" s="603"/>
      <c r="DX10" s="603"/>
      <c r="DY10" s="603"/>
      <c r="DZ10" s="603"/>
      <c r="EA10" s="603"/>
      <c r="EB10" s="603"/>
    </row>
    <row r="11" spans="1:132" s="605" customFormat="1" ht="20.100000000000001" customHeight="1">
      <c r="A11" s="635" t="s">
        <v>22</v>
      </c>
      <c r="B11" s="627">
        <f>'예산세입(마두)'!P90</f>
        <v>861000000</v>
      </c>
      <c r="C11" s="636">
        <f t="shared" si="0"/>
        <v>9.8762611159555647E-2</v>
      </c>
      <c r="D11" s="627">
        <f>'예산세입(마두)'!Q90</f>
        <v>861000000</v>
      </c>
      <c r="E11" s="626">
        <f t="shared" ref="E11:E43" si="1">+D11/$D$7</f>
        <v>0.14780402868119152</v>
      </c>
      <c r="F11" s="627">
        <f t="shared" ref="F11:F16" si="2">+B11-D11</f>
        <v>0</v>
      </c>
      <c r="G11" s="637">
        <f t="shared" ref="G11:G14" si="3">+F11/D11</f>
        <v>0</v>
      </c>
      <c r="H11" s="602"/>
      <c r="I11" s="629" t="s">
        <v>1623</v>
      </c>
      <c r="J11" s="604">
        <f>B10+B18+B28+B43</f>
        <v>1900720000</v>
      </c>
      <c r="K11" s="727">
        <f>D10+D18+D28+D43</f>
        <v>1687053000</v>
      </c>
      <c r="L11" s="632" t="s">
        <v>2143</v>
      </c>
      <c r="M11" s="633">
        <v>50004000</v>
      </c>
      <c r="N11" s="603" t="s">
        <v>2144</v>
      </c>
      <c r="O11" s="604">
        <f>K11+M11</f>
        <v>1737057000</v>
      </c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603"/>
      <c r="AJ11" s="603"/>
      <c r="AK11" s="603"/>
      <c r="AL11" s="603"/>
      <c r="AM11" s="603"/>
      <c r="AN11" s="603"/>
      <c r="AO11" s="603"/>
      <c r="AP11" s="603"/>
      <c r="AQ11" s="603"/>
      <c r="AR11" s="603"/>
      <c r="AS11" s="603"/>
      <c r="AT11" s="603"/>
      <c r="AU11" s="603"/>
      <c r="AV11" s="603"/>
      <c r="AW11" s="603"/>
      <c r="AX11" s="603"/>
      <c r="AY11" s="603"/>
      <c r="AZ11" s="603"/>
      <c r="BA11" s="603"/>
      <c r="BB11" s="603"/>
      <c r="BC11" s="603"/>
      <c r="BD11" s="603"/>
      <c r="BE11" s="603"/>
      <c r="BF11" s="603"/>
      <c r="BG11" s="603"/>
      <c r="BH11" s="603"/>
      <c r="BI11" s="603"/>
      <c r="BJ11" s="603"/>
      <c r="BK11" s="603"/>
      <c r="BL11" s="603"/>
      <c r="BM11" s="603"/>
      <c r="BN11" s="603"/>
      <c r="BO11" s="603"/>
      <c r="BP11" s="603"/>
      <c r="BQ11" s="603"/>
      <c r="BR11" s="603"/>
      <c r="BS11" s="603"/>
      <c r="BT11" s="603"/>
      <c r="BU11" s="603"/>
      <c r="BV11" s="603"/>
      <c r="BW11" s="603"/>
      <c r="BX11" s="603"/>
      <c r="BY11" s="603"/>
      <c r="BZ11" s="603"/>
      <c r="CA11" s="603"/>
      <c r="CB11" s="603"/>
      <c r="CC11" s="603"/>
      <c r="CD11" s="603"/>
      <c r="CE11" s="603"/>
      <c r="CF11" s="603"/>
      <c r="CG11" s="603"/>
      <c r="CH11" s="603"/>
      <c r="CI11" s="603"/>
      <c r="CJ11" s="603"/>
      <c r="CK11" s="603"/>
      <c r="CL11" s="603"/>
      <c r="CM11" s="603"/>
      <c r="CN11" s="603"/>
      <c r="CO11" s="603"/>
      <c r="CP11" s="603"/>
      <c r="CQ11" s="603"/>
      <c r="CR11" s="603"/>
      <c r="CS11" s="603"/>
      <c r="CT11" s="603"/>
      <c r="CU11" s="603"/>
      <c r="CV11" s="603"/>
      <c r="CW11" s="603"/>
      <c r="CX11" s="603"/>
      <c r="CY11" s="603"/>
      <c r="CZ11" s="603"/>
      <c r="DA11" s="603"/>
      <c r="DB11" s="603"/>
      <c r="DC11" s="603"/>
      <c r="DD11" s="603"/>
      <c r="DE11" s="603"/>
      <c r="DF11" s="603"/>
      <c r="DG11" s="603"/>
      <c r="DH11" s="603"/>
      <c r="DI11" s="603"/>
      <c r="DJ11" s="603"/>
      <c r="DK11" s="603"/>
      <c r="DL11" s="603"/>
      <c r="DM11" s="603"/>
      <c r="DN11" s="603"/>
      <c r="DO11" s="603"/>
      <c r="DP11" s="603"/>
      <c r="DQ11" s="603"/>
      <c r="DR11" s="603"/>
      <c r="DS11" s="603"/>
      <c r="DT11" s="603"/>
      <c r="DU11" s="603"/>
      <c r="DV11" s="603"/>
      <c r="DW11" s="603"/>
      <c r="DX11" s="603"/>
      <c r="DY11" s="603"/>
      <c r="DZ11" s="603"/>
      <c r="EA11" s="603"/>
      <c r="EB11" s="603"/>
    </row>
    <row r="12" spans="1:132" s="605" customFormat="1" ht="20.100000000000001" customHeight="1">
      <c r="A12" s="635" t="s">
        <v>23</v>
      </c>
      <c r="B12" s="627">
        <f>'예산세입(진로)'!P14</f>
        <v>324988000</v>
      </c>
      <c r="C12" s="636">
        <f t="shared" si="0"/>
        <v>3.7278354791546654E-2</v>
      </c>
      <c r="D12" s="627">
        <f>'예산세입(진로)'!Q14</f>
        <v>231000000</v>
      </c>
      <c r="E12" s="626">
        <f t="shared" si="1"/>
        <v>3.9654739402270892E-2</v>
      </c>
      <c r="F12" s="627">
        <f>+B12-D12</f>
        <v>93988000</v>
      </c>
      <c r="G12" s="637">
        <f t="shared" si="3"/>
        <v>0.40687445887445889</v>
      </c>
      <c r="H12" s="602"/>
      <c r="I12" s="629" t="s">
        <v>30</v>
      </c>
      <c r="J12" s="604">
        <f>B11+B19+B29+B46+B55+B62+B69</f>
        <v>1588140000</v>
      </c>
      <c r="K12" s="728">
        <f>D11+D19+D29+D46+D55+D62+D69</f>
        <v>1586392000</v>
      </c>
      <c r="L12" s="603"/>
      <c r="M12" s="603"/>
      <c r="N12" s="604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603"/>
      <c r="AJ12" s="603"/>
      <c r="AK12" s="603"/>
      <c r="AL12" s="603"/>
      <c r="AM12" s="603"/>
      <c r="AN12" s="603"/>
      <c r="AO12" s="603"/>
      <c r="AP12" s="603"/>
      <c r="AQ12" s="603"/>
      <c r="AR12" s="603"/>
      <c r="AS12" s="603"/>
      <c r="AT12" s="603"/>
      <c r="AU12" s="603"/>
      <c r="AV12" s="603"/>
      <c r="AW12" s="603"/>
      <c r="AX12" s="603"/>
      <c r="AY12" s="603"/>
      <c r="AZ12" s="603"/>
      <c r="BA12" s="603"/>
      <c r="BB12" s="603"/>
      <c r="BC12" s="603"/>
      <c r="BD12" s="603"/>
      <c r="BE12" s="603"/>
      <c r="BF12" s="603"/>
      <c r="BG12" s="603"/>
      <c r="BH12" s="603"/>
      <c r="BI12" s="603"/>
      <c r="BJ12" s="603"/>
      <c r="BK12" s="603"/>
      <c r="BL12" s="603"/>
      <c r="BM12" s="603"/>
      <c r="BN12" s="603"/>
      <c r="BO12" s="603"/>
      <c r="BP12" s="603"/>
      <c r="BQ12" s="603"/>
      <c r="BR12" s="603"/>
      <c r="BS12" s="603"/>
      <c r="BT12" s="603"/>
      <c r="BU12" s="603"/>
      <c r="BV12" s="603"/>
      <c r="BW12" s="603"/>
      <c r="BX12" s="603"/>
      <c r="BY12" s="603"/>
      <c r="BZ12" s="603"/>
      <c r="CA12" s="603"/>
      <c r="CB12" s="603"/>
      <c r="CC12" s="603"/>
      <c r="CD12" s="603"/>
      <c r="CE12" s="603"/>
      <c r="CF12" s="603"/>
      <c r="CG12" s="603"/>
      <c r="CH12" s="603"/>
      <c r="CI12" s="603"/>
      <c r="CJ12" s="603"/>
      <c r="CK12" s="603"/>
      <c r="CL12" s="603"/>
      <c r="CM12" s="603"/>
      <c r="CN12" s="603"/>
      <c r="CO12" s="603"/>
      <c r="CP12" s="603"/>
      <c r="CQ12" s="603"/>
      <c r="CR12" s="603"/>
      <c r="CS12" s="603"/>
      <c r="CT12" s="603"/>
      <c r="CU12" s="603"/>
      <c r="CV12" s="603"/>
      <c r="CW12" s="603"/>
      <c r="CX12" s="603"/>
      <c r="CY12" s="603"/>
      <c r="CZ12" s="603"/>
      <c r="DA12" s="603"/>
      <c r="DB12" s="603"/>
      <c r="DC12" s="603"/>
      <c r="DD12" s="603"/>
      <c r="DE12" s="603"/>
      <c r="DF12" s="603"/>
      <c r="DG12" s="603"/>
      <c r="DH12" s="603"/>
      <c r="DI12" s="603"/>
      <c r="DJ12" s="603"/>
      <c r="DK12" s="603"/>
      <c r="DL12" s="603"/>
      <c r="DM12" s="603"/>
      <c r="DN12" s="603"/>
      <c r="DO12" s="603"/>
      <c r="DP12" s="603"/>
      <c r="DQ12" s="603"/>
      <c r="DR12" s="603"/>
      <c r="DS12" s="603"/>
      <c r="DT12" s="603"/>
      <c r="DU12" s="603"/>
      <c r="DV12" s="603"/>
      <c r="DW12" s="603"/>
      <c r="DX12" s="603"/>
      <c r="DY12" s="603"/>
      <c r="DZ12" s="603"/>
      <c r="EA12" s="603"/>
      <c r="EB12" s="603"/>
    </row>
    <row r="13" spans="1:132" s="605" customFormat="1" ht="20.100000000000001" customHeight="1">
      <c r="A13" s="635" t="s">
        <v>24</v>
      </c>
      <c r="B13" s="627">
        <f>'예산세입(성사)'!P25</f>
        <v>331348000</v>
      </c>
      <c r="C13" s="636">
        <f t="shared" si="0"/>
        <v>3.8007890455861143E-2</v>
      </c>
      <c r="D13" s="627">
        <f>'예산세입(성사)'!Q25</f>
        <v>221550000</v>
      </c>
      <c r="E13" s="626">
        <f t="shared" si="1"/>
        <v>3.8032500063087088E-2</v>
      </c>
      <c r="F13" s="627">
        <f t="shared" si="2"/>
        <v>109798000</v>
      </c>
      <c r="G13" s="637">
        <f t="shared" si="3"/>
        <v>0.49559016023470998</v>
      </c>
      <c r="H13" s="602"/>
      <c r="I13" s="629" t="s">
        <v>1629</v>
      </c>
      <c r="J13" s="604">
        <f>B12+B20+B30</f>
        <v>325228000</v>
      </c>
      <c r="K13" s="728">
        <f>D12+D20+D30</f>
        <v>231000000</v>
      </c>
      <c r="L13" s="603"/>
      <c r="M13" s="603"/>
      <c r="N13" s="603"/>
      <c r="O13" s="603"/>
      <c r="P13" s="603"/>
      <c r="Q13" s="603"/>
      <c r="R13" s="603"/>
      <c r="S13" s="603"/>
      <c r="T13" s="603"/>
      <c r="U13" s="603"/>
      <c r="V13" s="603"/>
      <c r="W13" s="603"/>
      <c r="X13" s="603"/>
      <c r="Y13" s="603"/>
      <c r="Z13" s="603"/>
      <c r="AA13" s="603"/>
      <c r="AB13" s="603"/>
      <c r="AC13" s="603"/>
      <c r="AD13" s="603"/>
      <c r="AE13" s="603"/>
      <c r="AF13" s="603"/>
      <c r="AG13" s="603"/>
      <c r="AH13" s="603"/>
      <c r="AI13" s="603"/>
      <c r="AJ13" s="603"/>
      <c r="AK13" s="603"/>
      <c r="AL13" s="603"/>
      <c r="AM13" s="603"/>
      <c r="AN13" s="603"/>
      <c r="AO13" s="603"/>
      <c r="AP13" s="603"/>
      <c r="AQ13" s="603"/>
      <c r="AR13" s="603"/>
      <c r="AS13" s="603"/>
      <c r="AT13" s="603"/>
      <c r="AU13" s="603"/>
      <c r="AV13" s="603"/>
      <c r="AW13" s="603"/>
      <c r="AX13" s="603"/>
      <c r="AY13" s="603"/>
      <c r="AZ13" s="603"/>
      <c r="BA13" s="603"/>
      <c r="BB13" s="603"/>
      <c r="BC13" s="603"/>
      <c r="BD13" s="603"/>
      <c r="BE13" s="603"/>
      <c r="BF13" s="603"/>
      <c r="BG13" s="603"/>
      <c r="BH13" s="603"/>
      <c r="BI13" s="603"/>
      <c r="BJ13" s="603"/>
      <c r="BK13" s="603"/>
      <c r="BL13" s="603"/>
      <c r="BM13" s="603"/>
      <c r="BN13" s="603"/>
      <c r="BO13" s="603"/>
      <c r="BP13" s="603"/>
      <c r="BQ13" s="603"/>
      <c r="BR13" s="603"/>
      <c r="BS13" s="603"/>
      <c r="BT13" s="603"/>
      <c r="BU13" s="603"/>
      <c r="BV13" s="603"/>
      <c r="BW13" s="603"/>
      <c r="BX13" s="603"/>
      <c r="BY13" s="603"/>
      <c r="BZ13" s="603"/>
      <c r="CA13" s="603"/>
      <c r="CB13" s="603"/>
      <c r="CC13" s="603"/>
      <c r="CD13" s="603"/>
      <c r="CE13" s="603"/>
      <c r="CF13" s="603"/>
      <c r="CG13" s="603"/>
      <c r="CH13" s="603"/>
      <c r="CI13" s="603"/>
      <c r="CJ13" s="603"/>
      <c r="CK13" s="603"/>
      <c r="CL13" s="603"/>
      <c r="CM13" s="603"/>
      <c r="CN13" s="603"/>
      <c r="CO13" s="603"/>
      <c r="CP13" s="603"/>
      <c r="CQ13" s="603"/>
      <c r="CR13" s="603"/>
      <c r="CS13" s="603"/>
      <c r="CT13" s="603"/>
      <c r="CU13" s="603"/>
      <c r="CV13" s="603"/>
      <c r="CW13" s="603"/>
      <c r="CX13" s="603"/>
      <c r="CY13" s="603"/>
      <c r="CZ13" s="603"/>
      <c r="DA13" s="603"/>
      <c r="DB13" s="603"/>
      <c r="DC13" s="603"/>
      <c r="DD13" s="603"/>
      <c r="DE13" s="603"/>
      <c r="DF13" s="603"/>
      <c r="DG13" s="603"/>
      <c r="DH13" s="603"/>
      <c r="DI13" s="603"/>
      <c r="DJ13" s="603"/>
      <c r="DK13" s="603"/>
      <c r="DL13" s="603"/>
      <c r="DM13" s="603"/>
      <c r="DN13" s="603"/>
      <c r="DO13" s="603"/>
      <c r="DP13" s="603"/>
      <c r="DQ13" s="603"/>
      <c r="DR13" s="603"/>
      <c r="DS13" s="603"/>
      <c r="DT13" s="603"/>
      <c r="DU13" s="603"/>
      <c r="DV13" s="603"/>
      <c r="DW13" s="603"/>
      <c r="DX13" s="603"/>
      <c r="DY13" s="603"/>
      <c r="DZ13" s="603"/>
      <c r="EA13" s="603"/>
      <c r="EB13" s="603"/>
    </row>
    <row r="14" spans="1:132" s="605" customFormat="1" ht="20.100000000000001" customHeight="1">
      <c r="A14" s="635" t="s">
        <v>25</v>
      </c>
      <c r="B14" s="627">
        <f>'예산세입(탄현)'!P37</f>
        <v>216088000</v>
      </c>
      <c r="C14" s="636">
        <f t="shared" si="0"/>
        <v>2.4786777143142927E-2</v>
      </c>
      <c r="D14" s="627">
        <f>'예산세입(탄현)'!Q37</f>
        <v>152250000</v>
      </c>
      <c r="E14" s="626">
        <f t="shared" si="1"/>
        <v>2.6136078242405818E-2</v>
      </c>
      <c r="F14" s="627">
        <f t="shared" si="2"/>
        <v>63838000</v>
      </c>
      <c r="G14" s="637">
        <f t="shared" si="3"/>
        <v>0.41929720853858787</v>
      </c>
      <c r="H14" s="602"/>
      <c r="I14" s="629" t="s">
        <v>1624</v>
      </c>
      <c r="J14" s="604">
        <f>B13+B21+B31+B47+B56+B70</f>
        <v>358138000</v>
      </c>
      <c r="K14" s="604">
        <f>D13+D21+D31+D47+D56+D70</f>
        <v>245371000</v>
      </c>
      <c r="L14" s="603"/>
      <c r="M14" s="603"/>
      <c r="N14" s="634"/>
      <c r="O14" s="603"/>
      <c r="P14" s="603"/>
      <c r="Q14" s="603"/>
      <c r="R14" s="603"/>
      <c r="S14" s="603"/>
      <c r="T14" s="603"/>
      <c r="U14" s="603"/>
      <c r="V14" s="603"/>
      <c r="W14" s="603"/>
      <c r="X14" s="603"/>
      <c r="Y14" s="603"/>
      <c r="Z14" s="603"/>
      <c r="AA14" s="603"/>
      <c r="AB14" s="603"/>
      <c r="AC14" s="603"/>
      <c r="AD14" s="603"/>
      <c r="AE14" s="603"/>
      <c r="AF14" s="603"/>
      <c r="AG14" s="603"/>
      <c r="AH14" s="603"/>
      <c r="AI14" s="603"/>
      <c r="AJ14" s="603"/>
      <c r="AK14" s="603"/>
      <c r="AL14" s="603"/>
      <c r="AM14" s="603"/>
      <c r="AN14" s="603"/>
      <c r="AO14" s="603"/>
      <c r="AP14" s="603"/>
      <c r="AQ14" s="603"/>
      <c r="AR14" s="603"/>
      <c r="AS14" s="603"/>
      <c r="AT14" s="603"/>
      <c r="AU14" s="603"/>
      <c r="AV14" s="603"/>
      <c r="AW14" s="603"/>
      <c r="AX14" s="603"/>
      <c r="AY14" s="603"/>
      <c r="AZ14" s="603"/>
      <c r="BA14" s="603"/>
      <c r="BB14" s="603"/>
      <c r="BC14" s="603"/>
      <c r="BD14" s="603"/>
      <c r="BE14" s="603"/>
      <c r="BF14" s="603"/>
      <c r="BG14" s="603"/>
      <c r="BH14" s="603"/>
      <c r="BI14" s="603"/>
      <c r="BJ14" s="603"/>
      <c r="BK14" s="603"/>
      <c r="BL14" s="603"/>
      <c r="BM14" s="603"/>
      <c r="BN14" s="603"/>
      <c r="BO14" s="603"/>
      <c r="BP14" s="603"/>
      <c r="BQ14" s="603"/>
      <c r="BR14" s="603"/>
      <c r="BS14" s="603"/>
      <c r="BT14" s="603"/>
      <c r="BU14" s="603"/>
      <c r="BV14" s="603"/>
      <c r="BW14" s="603"/>
      <c r="BX14" s="603"/>
      <c r="BY14" s="603"/>
      <c r="BZ14" s="603"/>
      <c r="CA14" s="603"/>
      <c r="CB14" s="603"/>
      <c r="CC14" s="603"/>
      <c r="CD14" s="603"/>
      <c r="CE14" s="603"/>
      <c r="CF14" s="603"/>
      <c r="CG14" s="603"/>
      <c r="CH14" s="603"/>
      <c r="CI14" s="603"/>
      <c r="CJ14" s="603"/>
      <c r="CK14" s="603"/>
      <c r="CL14" s="603"/>
      <c r="CM14" s="603"/>
      <c r="CN14" s="603"/>
      <c r="CO14" s="603"/>
      <c r="CP14" s="603"/>
      <c r="CQ14" s="603"/>
      <c r="CR14" s="603"/>
      <c r="CS14" s="603"/>
      <c r="CT14" s="603"/>
      <c r="CU14" s="603"/>
      <c r="CV14" s="603"/>
      <c r="CW14" s="603"/>
      <c r="CX14" s="603"/>
      <c r="CY14" s="603"/>
      <c r="CZ14" s="603"/>
      <c r="DA14" s="603"/>
      <c r="DB14" s="603"/>
      <c r="DC14" s="603"/>
      <c r="DD14" s="603"/>
      <c r="DE14" s="603"/>
      <c r="DF14" s="603"/>
      <c r="DG14" s="603"/>
      <c r="DH14" s="603"/>
      <c r="DI14" s="603"/>
      <c r="DJ14" s="603"/>
      <c r="DK14" s="603"/>
      <c r="DL14" s="603"/>
      <c r="DM14" s="603"/>
      <c r="DN14" s="603"/>
      <c r="DO14" s="603"/>
      <c r="DP14" s="603"/>
      <c r="DQ14" s="603"/>
      <c r="DR14" s="603"/>
      <c r="DS14" s="603"/>
      <c r="DT14" s="603"/>
      <c r="DU14" s="603"/>
      <c r="DV14" s="603"/>
      <c r="DW14" s="603"/>
      <c r="DX14" s="603"/>
      <c r="DY14" s="603"/>
      <c r="DZ14" s="603"/>
      <c r="EA14" s="603"/>
      <c r="EB14" s="603"/>
    </row>
    <row r="15" spans="1:132" s="605" customFormat="1" ht="20.100000000000001" customHeight="1">
      <c r="A15" s="635" t="s">
        <v>2432</v>
      </c>
      <c r="B15" s="627">
        <f>'예산세입(주교)'!P21</f>
        <v>65189000</v>
      </c>
      <c r="C15" s="636">
        <f t="shared" si="0"/>
        <v>7.4776258523580408E-3</v>
      </c>
      <c r="D15" s="627">
        <f>'예산세입(주교)'!Q21</f>
        <v>47250000</v>
      </c>
      <c r="E15" s="636">
        <f t="shared" si="1"/>
        <v>8.1111966959190474E-3</v>
      </c>
      <c r="F15" s="627">
        <f t="shared" si="2"/>
        <v>17939000</v>
      </c>
      <c r="G15" s="637">
        <f>+F15/D15</f>
        <v>0.37966137566137564</v>
      </c>
      <c r="H15" s="602"/>
      <c r="I15" s="629" t="s">
        <v>1625</v>
      </c>
      <c r="J15" s="604">
        <f>B14+B32+B48+B57+B71</f>
        <v>343038000</v>
      </c>
      <c r="K15" s="604">
        <f>D14+D32+D48+D57+D71</f>
        <v>261170000</v>
      </c>
      <c r="L15" s="603"/>
      <c r="M15" s="603"/>
      <c r="N15" s="603"/>
      <c r="O15" s="604">
        <f>SUM(K11:K22)</f>
        <v>5825281000</v>
      </c>
      <c r="P15" s="603"/>
      <c r="Q15" s="603"/>
      <c r="R15" s="603"/>
      <c r="S15" s="603"/>
      <c r="T15" s="603"/>
      <c r="U15" s="603"/>
      <c r="V15" s="603"/>
      <c r="W15" s="603"/>
      <c r="X15" s="603"/>
      <c r="Y15" s="603"/>
      <c r="Z15" s="603"/>
      <c r="AA15" s="603"/>
      <c r="AB15" s="603"/>
      <c r="AC15" s="603"/>
      <c r="AD15" s="603"/>
      <c r="AE15" s="603"/>
      <c r="AF15" s="603"/>
      <c r="AG15" s="603"/>
      <c r="AH15" s="603"/>
      <c r="AI15" s="603"/>
      <c r="AJ15" s="603"/>
      <c r="AK15" s="603"/>
      <c r="AL15" s="603"/>
      <c r="AM15" s="603"/>
      <c r="AN15" s="603"/>
      <c r="AO15" s="603"/>
      <c r="AP15" s="603"/>
      <c r="AQ15" s="603"/>
      <c r="AR15" s="603"/>
      <c r="AS15" s="603"/>
      <c r="AT15" s="603"/>
      <c r="AU15" s="603"/>
      <c r="AV15" s="603"/>
      <c r="AW15" s="603"/>
      <c r="AX15" s="603"/>
      <c r="AY15" s="603"/>
      <c r="AZ15" s="603"/>
      <c r="BA15" s="603"/>
      <c r="BB15" s="603"/>
      <c r="BC15" s="603"/>
      <c r="BD15" s="603"/>
      <c r="BE15" s="603"/>
      <c r="BF15" s="603"/>
      <c r="BG15" s="603"/>
      <c r="BH15" s="603"/>
      <c r="BI15" s="603"/>
      <c r="BJ15" s="603"/>
      <c r="BK15" s="603"/>
      <c r="BL15" s="603"/>
      <c r="BM15" s="603"/>
      <c r="BN15" s="603"/>
      <c r="BO15" s="603"/>
      <c r="BP15" s="603"/>
      <c r="BQ15" s="603"/>
      <c r="BR15" s="603"/>
      <c r="BS15" s="603"/>
      <c r="BT15" s="603"/>
      <c r="BU15" s="603"/>
      <c r="BV15" s="603"/>
      <c r="BW15" s="603"/>
      <c r="BX15" s="603"/>
      <c r="BY15" s="603"/>
      <c r="BZ15" s="603"/>
      <c r="CA15" s="603"/>
      <c r="CB15" s="603"/>
      <c r="CC15" s="603"/>
      <c r="CD15" s="603"/>
      <c r="CE15" s="603"/>
      <c r="CF15" s="603"/>
      <c r="CG15" s="603"/>
      <c r="CH15" s="603"/>
      <c r="CI15" s="603"/>
      <c r="CJ15" s="603"/>
      <c r="CK15" s="603"/>
      <c r="CL15" s="603"/>
      <c r="CM15" s="603"/>
      <c r="CN15" s="603"/>
      <c r="CO15" s="603"/>
      <c r="CP15" s="603"/>
      <c r="CQ15" s="603"/>
      <c r="CR15" s="603"/>
      <c r="CS15" s="603"/>
      <c r="CT15" s="603"/>
      <c r="CU15" s="603"/>
      <c r="CV15" s="603"/>
      <c r="CW15" s="603"/>
      <c r="CX15" s="603"/>
      <c r="CY15" s="603"/>
      <c r="CZ15" s="603"/>
      <c r="DA15" s="603"/>
      <c r="DB15" s="603"/>
      <c r="DC15" s="603"/>
      <c r="DD15" s="603"/>
      <c r="DE15" s="603"/>
      <c r="DF15" s="603"/>
      <c r="DG15" s="603"/>
      <c r="DH15" s="603"/>
      <c r="DI15" s="603"/>
      <c r="DJ15" s="603"/>
      <c r="DK15" s="603"/>
      <c r="DL15" s="603"/>
      <c r="DM15" s="603"/>
      <c r="DN15" s="603"/>
      <c r="DO15" s="603"/>
      <c r="DP15" s="603"/>
      <c r="DQ15" s="603"/>
      <c r="DR15" s="603"/>
      <c r="DS15" s="603"/>
      <c r="DT15" s="603"/>
      <c r="DU15" s="603"/>
      <c r="DV15" s="603"/>
      <c r="DW15" s="603"/>
      <c r="DX15" s="603"/>
      <c r="DY15" s="603"/>
      <c r="DZ15" s="603"/>
      <c r="EA15" s="603"/>
      <c r="EB15" s="603"/>
    </row>
    <row r="16" spans="1:132" s="605" customFormat="1" ht="20.100000000000001" customHeight="1">
      <c r="A16" s="635" t="s">
        <v>2127</v>
      </c>
      <c r="B16" s="627">
        <v>1200000000</v>
      </c>
      <c r="C16" s="636">
        <f>+B16/$B$7</f>
        <v>0.13764823854990332</v>
      </c>
      <c r="D16" s="627">
        <f>'예산세입(일산서구)'!Q54</f>
        <v>0</v>
      </c>
      <c r="E16" s="626">
        <f t="shared" si="1"/>
        <v>0</v>
      </c>
      <c r="F16" s="627">
        <f t="shared" si="2"/>
        <v>1200000000</v>
      </c>
      <c r="G16" s="637">
        <v>1</v>
      </c>
      <c r="H16" s="602"/>
      <c r="I16" s="629" t="s">
        <v>2141</v>
      </c>
      <c r="J16" s="604">
        <f>B15+B33+B72+B49</f>
        <v>66689000</v>
      </c>
      <c r="K16" s="604">
        <f>D15+D33+D72+D49</f>
        <v>50660000</v>
      </c>
      <c r="L16" s="603"/>
      <c r="M16" s="603"/>
      <c r="N16" s="603"/>
      <c r="O16" s="604"/>
      <c r="P16" s="603"/>
      <c r="Q16" s="603"/>
      <c r="R16" s="603"/>
      <c r="S16" s="603"/>
      <c r="T16" s="603"/>
      <c r="U16" s="603"/>
      <c r="V16" s="603"/>
      <c r="W16" s="603"/>
      <c r="X16" s="603"/>
      <c r="Y16" s="603"/>
      <c r="Z16" s="603"/>
      <c r="AA16" s="603"/>
      <c r="AB16" s="603"/>
      <c r="AC16" s="603"/>
      <c r="AD16" s="603"/>
      <c r="AE16" s="603"/>
      <c r="AF16" s="603"/>
      <c r="AG16" s="603"/>
      <c r="AH16" s="603"/>
      <c r="AI16" s="603"/>
      <c r="AJ16" s="603"/>
      <c r="AK16" s="603"/>
      <c r="AL16" s="603"/>
      <c r="AM16" s="603"/>
      <c r="AN16" s="603"/>
      <c r="AO16" s="603"/>
      <c r="AP16" s="603"/>
      <c r="AQ16" s="603"/>
      <c r="AR16" s="603"/>
      <c r="AS16" s="603"/>
      <c r="AT16" s="603"/>
      <c r="AU16" s="603"/>
      <c r="AV16" s="603"/>
      <c r="AW16" s="603"/>
      <c r="AX16" s="603"/>
      <c r="AY16" s="603"/>
      <c r="AZ16" s="603"/>
      <c r="BA16" s="603"/>
      <c r="BB16" s="603"/>
      <c r="BC16" s="603"/>
      <c r="BD16" s="603"/>
      <c r="BE16" s="603"/>
      <c r="BF16" s="603"/>
      <c r="BG16" s="603"/>
      <c r="BH16" s="603"/>
      <c r="BI16" s="603"/>
      <c r="BJ16" s="603"/>
      <c r="BK16" s="603"/>
      <c r="BL16" s="603"/>
      <c r="BM16" s="603"/>
      <c r="BN16" s="603"/>
      <c r="BO16" s="603"/>
      <c r="BP16" s="603"/>
      <c r="BQ16" s="603"/>
      <c r="BR16" s="603"/>
      <c r="BS16" s="603"/>
      <c r="BT16" s="603"/>
      <c r="BU16" s="603"/>
      <c r="BV16" s="603"/>
      <c r="BW16" s="603"/>
      <c r="BX16" s="603"/>
      <c r="BY16" s="603"/>
      <c r="BZ16" s="603"/>
      <c r="CA16" s="603"/>
      <c r="CB16" s="603"/>
      <c r="CC16" s="603"/>
      <c r="CD16" s="603"/>
      <c r="CE16" s="603"/>
      <c r="CF16" s="603"/>
      <c r="CG16" s="603"/>
      <c r="CH16" s="603"/>
      <c r="CI16" s="603"/>
      <c r="CJ16" s="603"/>
      <c r="CK16" s="603"/>
      <c r="CL16" s="603"/>
      <c r="CM16" s="603"/>
      <c r="CN16" s="603"/>
      <c r="CO16" s="603"/>
      <c r="CP16" s="603"/>
      <c r="CQ16" s="603"/>
      <c r="CR16" s="603"/>
      <c r="CS16" s="603"/>
      <c r="CT16" s="603"/>
      <c r="CU16" s="603"/>
      <c r="CV16" s="603"/>
      <c r="CW16" s="603"/>
      <c r="CX16" s="603"/>
      <c r="CY16" s="603"/>
      <c r="CZ16" s="603"/>
      <c r="DA16" s="603"/>
      <c r="DB16" s="603"/>
      <c r="DC16" s="603"/>
      <c r="DD16" s="603"/>
      <c r="DE16" s="603"/>
      <c r="DF16" s="603"/>
      <c r="DG16" s="603"/>
      <c r="DH16" s="603"/>
      <c r="DI16" s="603"/>
      <c r="DJ16" s="603"/>
      <c r="DK16" s="603"/>
      <c r="DL16" s="603"/>
      <c r="DM16" s="603"/>
      <c r="DN16" s="603"/>
      <c r="DO16" s="603"/>
      <c r="DP16" s="603"/>
      <c r="DQ16" s="603"/>
      <c r="DR16" s="603"/>
      <c r="DS16" s="603"/>
      <c r="DT16" s="603"/>
      <c r="DU16" s="603"/>
      <c r="DV16" s="603"/>
      <c r="DW16" s="603"/>
      <c r="DX16" s="603"/>
      <c r="DY16" s="603"/>
      <c r="DZ16" s="603"/>
      <c r="EA16" s="603"/>
      <c r="EB16" s="603"/>
    </row>
    <row r="17" spans="1:132" s="605" customFormat="1" ht="20.100000000000001" customHeight="1">
      <c r="A17" s="729" t="s">
        <v>29</v>
      </c>
      <c r="B17" s="647">
        <f>SUM(B18:B26)</f>
        <v>1401151000</v>
      </c>
      <c r="C17" s="648">
        <f>+B17/$B$7</f>
        <v>0.16072163924369634</v>
      </c>
      <c r="D17" s="647">
        <f>SUM(D18:D26)</f>
        <v>2057875000</v>
      </c>
      <c r="E17" s="730">
        <f t="shared" si="1"/>
        <v>0.35326622011882347</v>
      </c>
      <c r="F17" s="647">
        <f>SUM(F18:F26)</f>
        <v>-656724000</v>
      </c>
      <c r="G17" s="649">
        <f t="shared" ref="G17:G18" si="4">+F17/D17</f>
        <v>-0.31912725505679401</v>
      </c>
      <c r="H17" s="650"/>
      <c r="I17" s="629" t="s">
        <v>2127</v>
      </c>
      <c r="J17" s="604">
        <f>B16+B34+B50+B58+B63+B73</f>
        <v>1775783000</v>
      </c>
      <c r="K17" s="604">
        <f>D16+D34+D50+D58+D63+D73</f>
        <v>0</v>
      </c>
      <c r="L17" s="603"/>
      <c r="M17" s="603"/>
      <c r="N17" s="604"/>
      <c r="O17" s="603"/>
      <c r="P17" s="603"/>
      <c r="Q17" s="603"/>
      <c r="R17" s="603"/>
      <c r="S17" s="603"/>
      <c r="T17" s="603"/>
      <c r="U17" s="603"/>
      <c r="V17" s="603"/>
      <c r="W17" s="603"/>
      <c r="X17" s="603"/>
      <c r="Y17" s="603"/>
      <c r="Z17" s="603"/>
      <c r="AA17" s="603"/>
      <c r="AB17" s="603"/>
      <c r="AC17" s="603"/>
      <c r="AD17" s="603"/>
      <c r="AE17" s="603"/>
      <c r="AF17" s="603"/>
      <c r="AG17" s="603"/>
      <c r="AH17" s="603"/>
      <c r="AI17" s="603"/>
      <c r="AJ17" s="603"/>
      <c r="AK17" s="603"/>
      <c r="AL17" s="603"/>
      <c r="AM17" s="603"/>
      <c r="AN17" s="603"/>
      <c r="AO17" s="603"/>
      <c r="AP17" s="603"/>
      <c r="AQ17" s="603"/>
      <c r="AR17" s="603"/>
      <c r="AS17" s="603"/>
      <c r="AT17" s="603"/>
      <c r="AU17" s="603"/>
      <c r="AV17" s="603"/>
      <c r="AW17" s="603"/>
      <c r="AX17" s="603"/>
      <c r="AY17" s="603"/>
      <c r="AZ17" s="603"/>
      <c r="BA17" s="603"/>
      <c r="BB17" s="603"/>
      <c r="BC17" s="603"/>
      <c r="BD17" s="603"/>
      <c r="BE17" s="603"/>
      <c r="BF17" s="603"/>
      <c r="BG17" s="603"/>
      <c r="BH17" s="603"/>
      <c r="BI17" s="603"/>
      <c r="BJ17" s="603"/>
      <c r="BK17" s="603"/>
      <c r="BL17" s="603"/>
      <c r="BM17" s="603"/>
      <c r="BN17" s="603"/>
      <c r="BO17" s="603"/>
      <c r="BP17" s="603"/>
      <c r="BQ17" s="603"/>
      <c r="BR17" s="603"/>
      <c r="BS17" s="603"/>
      <c r="BT17" s="603"/>
      <c r="BU17" s="603"/>
      <c r="BV17" s="603"/>
      <c r="BW17" s="603"/>
      <c r="BX17" s="603"/>
      <c r="BY17" s="603"/>
      <c r="BZ17" s="603"/>
      <c r="CA17" s="603"/>
      <c r="CB17" s="603"/>
      <c r="CC17" s="603"/>
      <c r="CD17" s="603"/>
      <c r="CE17" s="603"/>
      <c r="CF17" s="603"/>
      <c r="CG17" s="603"/>
      <c r="CH17" s="603"/>
      <c r="CI17" s="603"/>
      <c r="CJ17" s="603"/>
      <c r="CK17" s="603"/>
      <c r="CL17" s="603"/>
      <c r="CM17" s="603"/>
      <c r="CN17" s="603"/>
      <c r="CO17" s="603"/>
      <c r="CP17" s="603"/>
      <c r="CQ17" s="603"/>
      <c r="CR17" s="603"/>
      <c r="CS17" s="603"/>
      <c r="CT17" s="603"/>
      <c r="CU17" s="603"/>
      <c r="CV17" s="603"/>
      <c r="CW17" s="603"/>
      <c r="CX17" s="603"/>
      <c r="CY17" s="603"/>
      <c r="CZ17" s="603"/>
      <c r="DA17" s="603"/>
      <c r="DB17" s="603"/>
      <c r="DC17" s="603"/>
      <c r="DD17" s="603"/>
      <c r="DE17" s="603"/>
      <c r="DF17" s="603"/>
      <c r="DG17" s="603"/>
      <c r="DH17" s="603"/>
      <c r="DI17" s="603"/>
      <c r="DJ17" s="603"/>
      <c r="DK17" s="603"/>
      <c r="DL17" s="603"/>
      <c r="DM17" s="603"/>
      <c r="DN17" s="603"/>
      <c r="DO17" s="603"/>
      <c r="DP17" s="603"/>
      <c r="DQ17" s="603"/>
      <c r="DR17" s="603"/>
      <c r="DS17" s="603"/>
      <c r="DT17" s="603"/>
      <c r="DU17" s="603"/>
      <c r="DV17" s="603"/>
      <c r="DW17" s="603"/>
      <c r="DX17" s="603"/>
      <c r="DY17" s="603"/>
      <c r="DZ17" s="603"/>
      <c r="EA17" s="603"/>
      <c r="EB17" s="603"/>
    </row>
    <row r="18" spans="1:132" s="605" customFormat="1" ht="20.100000000000001" customHeight="1">
      <c r="A18" s="624" t="s">
        <v>21</v>
      </c>
      <c r="B18" s="731">
        <v>0</v>
      </c>
      <c r="C18" s="626">
        <f t="shared" ref="C18:E76" si="5">+B18/$B$7</f>
        <v>0</v>
      </c>
      <c r="D18" s="625">
        <v>853000000</v>
      </c>
      <c r="E18" s="626">
        <f>+D18/$D$7</f>
        <v>0.14643070437288777</v>
      </c>
      <c r="F18" s="627">
        <f>+B18-D18</f>
        <v>-853000000</v>
      </c>
      <c r="G18" s="628">
        <f t="shared" si="4"/>
        <v>-1</v>
      </c>
      <c r="H18" s="602"/>
      <c r="I18" s="629" t="s">
        <v>1626</v>
      </c>
      <c r="J18" s="604">
        <f>B22+B35+B51+B59+B64+B74+B76</f>
        <v>1705842000</v>
      </c>
      <c r="K18" s="604">
        <f>D22+D35+D51+D59+D64+D74+D76</f>
        <v>1271000000</v>
      </c>
      <c r="L18" s="603"/>
      <c r="M18" s="603"/>
      <c r="N18" s="603"/>
      <c r="O18" s="603"/>
      <c r="P18" s="603"/>
      <c r="Q18" s="603"/>
      <c r="R18" s="603"/>
      <c r="S18" s="603"/>
      <c r="T18" s="603"/>
      <c r="U18" s="603"/>
      <c r="V18" s="603"/>
      <c r="W18" s="603"/>
      <c r="X18" s="603"/>
      <c r="Y18" s="603"/>
      <c r="Z18" s="603"/>
      <c r="AA18" s="603"/>
      <c r="AB18" s="603"/>
      <c r="AC18" s="603"/>
      <c r="AD18" s="603"/>
      <c r="AE18" s="603"/>
      <c r="AF18" s="603"/>
      <c r="AG18" s="603"/>
      <c r="AH18" s="603"/>
      <c r="AI18" s="603"/>
      <c r="AJ18" s="603"/>
      <c r="AK18" s="603"/>
      <c r="AL18" s="603"/>
      <c r="AM18" s="603"/>
      <c r="AN18" s="603"/>
      <c r="AO18" s="603"/>
      <c r="AP18" s="603"/>
      <c r="AQ18" s="603"/>
      <c r="AR18" s="603"/>
      <c r="AS18" s="603"/>
      <c r="AT18" s="603"/>
      <c r="AU18" s="603"/>
      <c r="AV18" s="603"/>
      <c r="AW18" s="603"/>
      <c r="AX18" s="603"/>
      <c r="AY18" s="603"/>
      <c r="AZ18" s="603"/>
      <c r="BA18" s="603"/>
      <c r="BB18" s="603"/>
      <c r="BC18" s="603"/>
      <c r="BD18" s="603"/>
      <c r="BE18" s="603"/>
      <c r="BF18" s="603"/>
      <c r="BG18" s="603"/>
      <c r="BH18" s="603"/>
      <c r="BI18" s="603"/>
      <c r="BJ18" s="603"/>
      <c r="BK18" s="603"/>
      <c r="BL18" s="603"/>
      <c r="BM18" s="603"/>
      <c r="BN18" s="603"/>
      <c r="BO18" s="603"/>
      <c r="BP18" s="603"/>
      <c r="BQ18" s="603"/>
      <c r="BR18" s="603"/>
      <c r="BS18" s="603"/>
      <c r="BT18" s="603"/>
      <c r="BU18" s="603"/>
      <c r="BV18" s="603"/>
      <c r="BW18" s="603"/>
      <c r="BX18" s="603"/>
      <c r="BY18" s="603"/>
      <c r="BZ18" s="603"/>
      <c r="CA18" s="603"/>
      <c r="CB18" s="603"/>
      <c r="CC18" s="603"/>
      <c r="CD18" s="603"/>
      <c r="CE18" s="603"/>
      <c r="CF18" s="603"/>
      <c r="CG18" s="603"/>
      <c r="CH18" s="603"/>
      <c r="CI18" s="603"/>
      <c r="CJ18" s="603"/>
      <c r="CK18" s="603"/>
      <c r="CL18" s="603"/>
      <c r="CM18" s="603"/>
      <c r="CN18" s="603"/>
      <c r="CO18" s="603"/>
      <c r="CP18" s="603"/>
      <c r="CQ18" s="603"/>
      <c r="CR18" s="603"/>
      <c r="CS18" s="603"/>
      <c r="CT18" s="603"/>
      <c r="CU18" s="603"/>
      <c r="CV18" s="603"/>
      <c r="CW18" s="603"/>
      <c r="CX18" s="603"/>
      <c r="CY18" s="603"/>
      <c r="CZ18" s="603"/>
      <c r="DA18" s="603"/>
      <c r="DB18" s="603"/>
      <c r="DC18" s="603"/>
      <c r="DD18" s="603"/>
      <c r="DE18" s="603"/>
      <c r="DF18" s="603"/>
      <c r="DG18" s="603"/>
      <c r="DH18" s="603"/>
      <c r="DI18" s="603"/>
      <c r="DJ18" s="603"/>
      <c r="DK18" s="603"/>
      <c r="DL18" s="603"/>
      <c r="DM18" s="603"/>
      <c r="DN18" s="603"/>
      <c r="DO18" s="603"/>
      <c r="DP18" s="603"/>
      <c r="DQ18" s="603"/>
      <c r="DR18" s="603"/>
      <c r="DS18" s="603"/>
      <c r="DT18" s="603"/>
      <c r="DU18" s="603"/>
      <c r="DV18" s="603"/>
      <c r="DW18" s="603"/>
      <c r="DX18" s="603"/>
      <c r="DY18" s="603"/>
      <c r="DZ18" s="603"/>
      <c r="EA18" s="603"/>
      <c r="EB18" s="603"/>
    </row>
    <row r="19" spans="1:132" s="605" customFormat="1" ht="18.75" customHeight="1">
      <c r="A19" s="635" t="s">
        <v>30</v>
      </c>
      <c r="B19" s="731">
        <v>0</v>
      </c>
      <c r="C19" s="636">
        <f t="shared" si="5"/>
        <v>0</v>
      </c>
      <c r="D19" s="731">
        <v>0</v>
      </c>
      <c r="E19" s="636">
        <f t="shared" si="1"/>
        <v>0</v>
      </c>
      <c r="F19" s="731">
        <f>+B19-D19</f>
        <v>0</v>
      </c>
      <c r="G19" s="637">
        <v>0</v>
      </c>
      <c r="H19" s="602"/>
      <c r="I19" s="629" t="s">
        <v>1627</v>
      </c>
      <c r="J19" s="604">
        <f>B23+B36+B52</f>
        <v>343577000</v>
      </c>
      <c r="K19" s="604">
        <f>D23+D36+D52</f>
        <v>252040000</v>
      </c>
      <c r="L19" s="603"/>
      <c r="M19" s="603"/>
      <c r="N19" s="603"/>
      <c r="O19" s="603"/>
      <c r="P19" s="603"/>
      <c r="Q19" s="603"/>
      <c r="R19" s="603"/>
      <c r="S19" s="603"/>
      <c r="T19" s="603"/>
      <c r="U19" s="603"/>
      <c r="V19" s="603"/>
      <c r="W19" s="603"/>
      <c r="X19" s="603"/>
      <c r="Y19" s="603"/>
      <c r="Z19" s="603"/>
      <c r="AA19" s="603"/>
      <c r="AB19" s="603"/>
      <c r="AC19" s="603"/>
      <c r="AD19" s="603"/>
      <c r="AE19" s="603"/>
      <c r="AF19" s="603"/>
      <c r="AG19" s="603"/>
      <c r="AH19" s="603"/>
      <c r="AI19" s="603"/>
      <c r="AJ19" s="603"/>
      <c r="AK19" s="603"/>
      <c r="AL19" s="603"/>
      <c r="AM19" s="603"/>
      <c r="AN19" s="603"/>
      <c r="AO19" s="603"/>
      <c r="AP19" s="603"/>
      <c r="AQ19" s="603"/>
      <c r="AR19" s="603"/>
      <c r="AS19" s="603"/>
      <c r="AT19" s="603"/>
      <c r="AU19" s="603"/>
      <c r="AV19" s="603"/>
      <c r="AW19" s="603"/>
      <c r="AX19" s="603"/>
      <c r="AY19" s="603"/>
      <c r="AZ19" s="603"/>
      <c r="BA19" s="603"/>
      <c r="BB19" s="603"/>
      <c r="BC19" s="603"/>
      <c r="BD19" s="603"/>
      <c r="BE19" s="603"/>
      <c r="BF19" s="603"/>
      <c r="BG19" s="603"/>
      <c r="BH19" s="603"/>
      <c r="BI19" s="603"/>
      <c r="BJ19" s="603"/>
      <c r="BK19" s="603"/>
      <c r="BL19" s="603"/>
      <c r="BM19" s="603"/>
      <c r="BN19" s="603"/>
      <c r="BO19" s="603"/>
      <c r="BP19" s="603"/>
      <c r="BQ19" s="603"/>
      <c r="BR19" s="603"/>
      <c r="BS19" s="603"/>
      <c r="BT19" s="603"/>
      <c r="BU19" s="603"/>
      <c r="BV19" s="603"/>
      <c r="BW19" s="603"/>
      <c r="BX19" s="603"/>
      <c r="BY19" s="603"/>
      <c r="BZ19" s="603"/>
      <c r="CA19" s="603"/>
      <c r="CB19" s="603"/>
      <c r="CC19" s="603"/>
      <c r="CD19" s="603"/>
      <c r="CE19" s="603"/>
      <c r="CF19" s="603"/>
      <c r="CG19" s="603"/>
      <c r="CH19" s="603"/>
      <c r="CI19" s="603"/>
      <c r="CJ19" s="603"/>
      <c r="CK19" s="603"/>
      <c r="CL19" s="603"/>
      <c r="CM19" s="603"/>
      <c r="CN19" s="603"/>
      <c r="CO19" s="603"/>
      <c r="CP19" s="603"/>
      <c r="CQ19" s="603"/>
      <c r="CR19" s="603"/>
      <c r="CS19" s="603"/>
      <c r="CT19" s="603"/>
      <c r="CU19" s="603"/>
      <c r="CV19" s="603"/>
      <c r="CW19" s="603"/>
      <c r="CX19" s="603"/>
      <c r="CY19" s="603"/>
      <c r="CZ19" s="603"/>
      <c r="DA19" s="603"/>
      <c r="DB19" s="603"/>
      <c r="DC19" s="603"/>
      <c r="DD19" s="603"/>
      <c r="DE19" s="603"/>
      <c r="DF19" s="603"/>
      <c r="DG19" s="603"/>
      <c r="DH19" s="603"/>
      <c r="DI19" s="603"/>
      <c r="DJ19" s="603"/>
      <c r="DK19" s="603"/>
      <c r="DL19" s="603"/>
      <c r="DM19" s="603"/>
      <c r="DN19" s="603"/>
      <c r="DO19" s="603"/>
      <c r="DP19" s="603"/>
      <c r="DQ19" s="603"/>
      <c r="DR19" s="603"/>
      <c r="DS19" s="603"/>
      <c r="DT19" s="603"/>
      <c r="DU19" s="603"/>
      <c r="DV19" s="603"/>
      <c r="DW19" s="603"/>
      <c r="DX19" s="603"/>
      <c r="DY19" s="603"/>
      <c r="DZ19" s="603"/>
      <c r="EA19" s="603"/>
      <c r="EB19" s="603"/>
    </row>
    <row r="20" spans="1:132" s="605" customFormat="1" ht="20.100000000000001" customHeight="1">
      <c r="A20" s="635" t="s">
        <v>23</v>
      </c>
      <c r="B20" s="731">
        <v>0</v>
      </c>
      <c r="C20" s="636">
        <f t="shared" si="5"/>
        <v>0</v>
      </c>
      <c r="D20" s="731">
        <v>0</v>
      </c>
      <c r="E20" s="636">
        <f t="shared" si="1"/>
        <v>0</v>
      </c>
      <c r="F20" s="731">
        <f>+B20-D20</f>
        <v>0</v>
      </c>
      <c r="G20" s="637">
        <v>0</v>
      </c>
      <c r="H20" s="602"/>
      <c r="I20" s="629" t="s">
        <v>1628</v>
      </c>
      <c r="J20" s="604">
        <f>B24+B37+B53+B60+B65+B41</f>
        <v>155514000</v>
      </c>
      <c r="K20" s="604">
        <f>D24+D37+D53+D60+D65+D41</f>
        <v>114345000</v>
      </c>
      <c r="L20" s="603"/>
      <c r="M20" s="603"/>
      <c r="N20" s="603"/>
      <c r="O20" s="603"/>
      <c r="P20" s="603"/>
      <c r="Q20" s="603"/>
      <c r="R20" s="603"/>
      <c r="S20" s="603"/>
      <c r="T20" s="603"/>
      <c r="U20" s="603"/>
      <c r="V20" s="603"/>
      <c r="W20" s="603"/>
      <c r="X20" s="603"/>
      <c r="Y20" s="603"/>
      <c r="Z20" s="603"/>
      <c r="AA20" s="603"/>
      <c r="AB20" s="603"/>
      <c r="AC20" s="603"/>
      <c r="AD20" s="603"/>
      <c r="AE20" s="603"/>
      <c r="AF20" s="603"/>
      <c r="AG20" s="603"/>
      <c r="AH20" s="603"/>
      <c r="AI20" s="603"/>
      <c r="AJ20" s="603"/>
      <c r="AK20" s="603"/>
      <c r="AL20" s="603"/>
      <c r="AM20" s="603"/>
      <c r="AN20" s="603"/>
      <c r="AO20" s="603"/>
      <c r="AP20" s="603"/>
      <c r="AQ20" s="603"/>
      <c r="AR20" s="603"/>
      <c r="AS20" s="603"/>
      <c r="AT20" s="603"/>
      <c r="AU20" s="603"/>
      <c r="AV20" s="603"/>
      <c r="AW20" s="603"/>
      <c r="AX20" s="603"/>
      <c r="AY20" s="603"/>
      <c r="AZ20" s="603"/>
      <c r="BA20" s="603"/>
      <c r="BB20" s="603"/>
      <c r="BC20" s="603"/>
      <c r="BD20" s="603"/>
      <c r="BE20" s="603"/>
      <c r="BF20" s="603"/>
      <c r="BG20" s="603"/>
      <c r="BH20" s="603"/>
      <c r="BI20" s="603"/>
      <c r="BJ20" s="603"/>
      <c r="BK20" s="603"/>
      <c r="BL20" s="603"/>
      <c r="BM20" s="603"/>
      <c r="BN20" s="603"/>
      <c r="BO20" s="603"/>
      <c r="BP20" s="603"/>
      <c r="BQ20" s="603"/>
      <c r="BR20" s="603"/>
      <c r="BS20" s="603"/>
      <c r="BT20" s="603"/>
      <c r="BU20" s="603"/>
      <c r="BV20" s="603"/>
      <c r="BW20" s="603"/>
      <c r="BX20" s="603"/>
      <c r="BY20" s="603"/>
      <c r="BZ20" s="603"/>
      <c r="CA20" s="603"/>
      <c r="CB20" s="603"/>
      <c r="CC20" s="603"/>
      <c r="CD20" s="603"/>
      <c r="CE20" s="603"/>
      <c r="CF20" s="603"/>
      <c r="CG20" s="603"/>
      <c r="CH20" s="603"/>
      <c r="CI20" s="603"/>
      <c r="CJ20" s="603"/>
      <c r="CK20" s="603"/>
      <c r="CL20" s="603"/>
      <c r="CM20" s="603"/>
      <c r="CN20" s="603"/>
      <c r="CO20" s="603"/>
      <c r="CP20" s="603"/>
      <c r="CQ20" s="603"/>
      <c r="CR20" s="603"/>
      <c r="CS20" s="603"/>
      <c r="CT20" s="603"/>
      <c r="CU20" s="603"/>
      <c r="CV20" s="603"/>
      <c r="CW20" s="603"/>
      <c r="CX20" s="603"/>
      <c r="CY20" s="603"/>
      <c r="CZ20" s="603"/>
      <c r="DA20" s="603"/>
      <c r="DB20" s="603"/>
      <c r="DC20" s="603"/>
      <c r="DD20" s="603"/>
      <c r="DE20" s="603"/>
      <c r="DF20" s="603"/>
      <c r="DG20" s="603"/>
      <c r="DH20" s="603"/>
      <c r="DI20" s="603"/>
      <c r="DJ20" s="603"/>
      <c r="DK20" s="603"/>
      <c r="DL20" s="603"/>
      <c r="DM20" s="603"/>
      <c r="DN20" s="603"/>
      <c r="DO20" s="603"/>
      <c r="DP20" s="603"/>
      <c r="DQ20" s="603"/>
      <c r="DR20" s="603"/>
      <c r="DS20" s="603"/>
      <c r="DT20" s="603"/>
      <c r="DU20" s="603"/>
      <c r="DV20" s="603"/>
      <c r="DW20" s="603"/>
      <c r="DX20" s="603"/>
      <c r="DY20" s="603"/>
      <c r="DZ20" s="603"/>
      <c r="EA20" s="603"/>
      <c r="EB20" s="603"/>
    </row>
    <row r="21" spans="1:132" s="605" customFormat="1" ht="20.100000000000001" customHeight="1">
      <c r="A21" s="635" t="s">
        <v>24</v>
      </c>
      <c r="B21" s="731">
        <v>0</v>
      </c>
      <c r="C21" s="636">
        <f t="shared" si="5"/>
        <v>0</v>
      </c>
      <c r="D21" s="731">
        <v>0</v>
      </c>
      <c r="E21" s="636">
        <f t="shared" si="1"/>
        <v>0</v>
      </c>
      <c r="F21" s="731">
        <f t="shared" ref="F21:F26" si="6">+B21-D21</f>
        <v>0</v>
      </c>
      <c r="G21" s="637">
        <v>0</v>
      </c>
      <c r="H21" s="602"/>
      <c r="I21" s="629" t="s">
        <v>2515</v>
      </c>
      <c r="J21" s="604">
        <f>B25+B38+B66</f>
        <v>85429000</v>
      </c>
      <c r="K21" s="604">
        <f>D25+D38+D66</f>
        <v>73750000</v>
      </c>
      <c r="L21" s="603"/>
      <c r="M21" s="603"/>
      <c r="N21" s="604"/>
      <c r="O21" s="603"/>
      <c r="P21" s="603"/>
      <c r="Q21" s="603"/>
      <c r="R21" s="603"/>
      <c r="S21" s="603"/>
      <c r="T21" s="603"/>
      <c r="U21" s="603"/>
      <c r="V21" s="603"/>
      <c r="W21" s="603"/>
      <c r="X21" s="603"/>
      <c r="Y21" s="603"/>
      <c r="Z21" s="603"/>
      <c r="AA21" s="603"/>
      <c r="AB21" s="603"/>
      <c r="AC21" s="603"/>
      <c r="AD21" s="603"/>
      <c r="AE21" s="603"/>
      <c r="AF21" s="603"/>
      <c r="AG21" s="603"/>
      <c r="AH21" s="603"/>
      <c r="AI21" s="603"/>
      <c r="AJ21" s="603"/>
      <c r="AK21" s="603"/>
      <c r="AL21" s="603"/>
      <c r="AM21" s="603"/>
      <c r="AN21" s="603"/>
      <c r="AO21" s="603"/>
      <c r="AP21" s="603"/>
      <c r="AQ21" s="603"/>
      <c r="AR21" s="603"/>
      <c r="AS21" s="603"/>
      <c r="AT21" s="603"/>
      <c r="AU21" s="603"/>
      <c r="AV21" s="603"/>
      <c r="AW21" s="603"/>
      <c r="AX21" s="603"/>
      <c r="AY21" s="603"/>
      <c r="AZ21" s="603"/>
      <c r="BA21" s="603"/>
      <c r="BB21" s="603"/>
      <c r="BC21" s="603"/>
      <c r="BD21" s="603"/>
      <c r="BE21" s="603"/>
      <c r="BF21" s="603"/>
      <c r="BG21" s="603"/>
      <c r="BH21" s="603"/>
      <c r="BI21" s="603"/>
      <c r="BJ21" s="603"/>
      <c r="BK21" s="603"/>
      <c r="BL21" s="603"/>
      <c r="BM21" s="603"/>
      <c r="BN21" s="603"/>
      <c r="BO21" s="603"/>
      <c r="BP21" s="603"/>
      <c r="BQ21" s="603"/>
      <c r="BR21" s="603"/>
      <c r="BS21" s="603"/>
      <c r="BT21" s="603"/>
      <c r="BU21" s="603"/>
      <c r="BV21" s="603"/>
      <c r="BW21" s="603"/>
      <c r="BX21" s="603"/>
      <c r="BY21" s="603"/>
      <c r="BZ21" s="603"/>
      <c r="CA21" s="603"/>
      <c r="CB21" s="603"/>
      <c r="CC21" s="603"/>
      <c r="CD21" s="603"/>
      <c r="CE21" s="603"/>
      <c r="CF21" s="603"/>
      <c r="CG21" s="603"/>
      <c r="CH21" s="603"/>
      <c r="CI21" s="603"/>
      <c r="CJ21" s="603"/>
      <c r="CK21" s="603"/>
      <c r="CL21" s="603"/>
      <c r="CM21" s="603"/>
      <c r="CN21" s="603"/>
      <c r="CO21" s="603"/>
      <c r="CP21" s="603"/>
      <c r="CQ21" s="603"/>
      <c r="CR21" s="603"/>
      <c r="CS21" s="603"/>
      <c r="CT21" s="603"/>
      <c r="CU21" s="603"/>
      <c r="CV21" s="603"/>
      <c r="CW21" s="603"/>
      <c r="CX21" s="603"/>
      <c r="CY21" s="603"/>
      <c r="CZ21" s="603"/>
      <c r="DA21" s="603"/>
      <c r="DB21" s="603"/>
      <c r="DC21" s="603"/>
      <c r="DD21" s="603"/>
      <c r="DE21" s="603"/>
      <c r="DF21" s="603"/>
      <c r="DG21" s="603"/>
      <c r="DH21" s="603"/>
      <c r="DI21" s="603"/>
      <c r="DJ21" s="603"/>
      <c r="DK21" s="603"/>
      <c r="DL21" s="603"/>
      <c r="DM21" s="603"/>
      <c r="DN21" s="603"/>
      <c r="DO21" s="603"/>
      <c r="DP21" s="603"/>
      <c r="DQ21" s="603"/>
      <c r="DR21" s="603"/>
      <c r="DS21" s="603"/>
      <c r="DT21" s="603"/>
      <c r="DU21" s="603"/>
      <c r="DV21" s="603"/>
      <c r="DW21" s="603"/>
      <c r="DX21" s="603"/>
      <c r="DY21" s="603"/>
      <c r="DZ21" s="603"/>
      <c r="EA21" s="603"/>
      <c r="EB21" s="603"/>
    </row>
    <row r="22" spans="1:132" s="605" customFormat="1" ht="20.100000000000001" customHeight="1">
      <c r="A22" s="635" t="s">
        <v>26</v>
      </c>
      <c r="B22" s="731">
        <f>'예산세입(토당)'!O140</f>
        <v>822500000</v>
      </c>
      <c r="C22" s="636">
        <f t="shared" si="5"/>
        <v>9.4346396839412913E-2</v>
      </c>
      <c r="D22" s="731">
        <v>783300000</v>
      </c>
      <c r="E22" s="636">
        <f t="shared" si="1"/>
        <v>0.1344656163367913</v>
      </c>
      <c r="F22" s="731">
        <f t="shared" si="6"/>
        <v>39200000</v>
      </c>
      <c r="G22" s="637">
        <f t="shared" ref="G22:G26" si="7">+F22/D22</f>
        <v>5.0044682752457555E-2</v>
      </c>
      <c r="H22" s="602"/>
      <c r="I22" s="629" t="s">
        <v>2516</v>
      </c>
      <c r="J22" s="604">
        <f>B26+B39+B67</f>
        <v>69776000</v>
      </c>
      <c r="K22" s="604">
        <f>D26+D39+D67</f>
        <v>52500000</v>
      </c>
      <c r="L22" s="603"/>
      <c r="M22" s="603"/>
      <c r="N22" s="604"/>
      <c r="O22" s="603"/>
      <c r="P22" s="603"/>
      <c r="Q22" s="603"/>
      <c r="R22" s="603"/>
      <c r="S22" s="603"/>
      <c r="T22" s="603"/>
      <c r="U22" s="603"/>
      <c r="V22" s="603"/>
      <c r="W22" s="603"/>
      <c r="X22" s="603"/>
      <c r="Y22" s="603"/>
      <c r="Z22" s="603"/>
      <c r="AA22" s="603"/>
      <c r="AB22" s="603"/>
      <c r="AC22" s="603"/>
      <c r="AD22" s="603"/>
      <c r="AE22" s="603"/>
      <c r="AF22" s="603"/>
      <c r="AG22" s="603"/>
      <c r="AH22" s="603"/>
      <c r="AI22" s="603"/>
      <c r="AJ22" s="603"/>
      <c r="AK22" s="603"/>
      <c r="AL22" s="603"/>
      <c r="AM22" s="603"/>
      <c r="AN22" s="603"/>
      <c r="AO22" s="603"/>
      <c r="AP22" s="603"/>
      <c r="AQ22" s="603"/>
      <c r="AR22" s="603"/>
      <c r="AS22" s="603"/>
      <c r="AT22" s="603"/>
      <c r="AU22" s="603"/>
      <c r="AV22" s="603"/>
      <c r="AW22" s="603"/>
      <c r="AX22" s="603"/>
      <c r="AY22" s="603"/>
      <c r="AZ22" s="603"/>
      <c r="BA22" s="603"/>
      <c r="BB22" s="603"/>
      <c r="BC22" s="603"/>
      <c r="BD22" s="603"/>
      <c r="BE22" s="603"/>
      <c r="BF22" s="603"/>
      <c r="BG22" s="603"/>
      <c r="BH22" s="603"/>
      <c r="BI22" s="603"/>
      <c r="BJ22" s="603"/>
      <c r="BK22" s="603"/>
      <c r="BL22" s="603"/>
      <c r="BM22" s="603"/>
      <c r="BN22" s="603"/>
      <c r="BO22" s="603"/>
      <c r="BP22" s="603"/>
      <c r="BQ22" s="603"/>
      <c r="BR22" s="603"/>
      <c r="BS22" s="603"/>
      <c r="BT22" s="603"/>
      <c r="BU22" s="603"/>
      <c r="BV22" s="603"/>
      <c r="BW22" s="603"/>
      <c r="BX22" s="603"/>
      <c r="BY22" s="603"/>
      <c r="BZ22" s="603"/>
      <c r="CA22" s="603"/>
      <c r="CB22" s="603"/>
      <c r="CC22" s="603"/>
      <c r="CD22" s="603"/>
      <c r="CE22" s="603"/>
      <c r="CF22" s="603"/>
      <c r="CG22" s="603"/>
      <c r="CH22" s="603"/>
      <c r="CI22" s="603"/>
      <c r="CJ22" s="603"/>
      <c r="CK22" s="603"/>
      <c r="CL22" s="603"/>
      <c r="CM22" s="603"/>
      <c r="CN22" s="603"/>
      <c r="CO22" s="603"/>
      <c r="CP22" s="603"/>
      <c r="CQ22" s="603"/>
      <c r="CR22" s="603"/>
      <c r="CS22" s="603"/>
      <c r="CT22" s="603"/>
      <c r="CU22" s="603"/>
      <c r="CV22" s="603"/>
      <c r="CW22" s="603"/>
      <c r="CX22" s="603"/>
      <c r="CY22" s="603"/>
      <c r="CZ22" s="603"/>
      <c r="DA22" s="603"/>
      <c r="DB22" s="603"/>
      <c r="DC22" s="603"/>
      <c r="DD22" s="603"/>
      <c r="DE22" s="603"/>
      <c r="DF22" s="603"/>
      <c r="DG22" s="603"/>
      <c r="DH22" s="603"/>
      <c r="DI22" s="603"/>
      <c r="DJ22" s="603"/>
      <c r="DK22" s="603"/>
      <c r="DL22" s="603"/>
      <c r="DM22" s="603"/>
      <c r="DN22" s="603"/>
      <c r="DO22" s="603"/>
      <c r="DP22" s="603"/>
      <c r="DQ22" s="603"/>
      <c r="DR22" s="603"/>
      <c r="DS22" s="603"/>
      <c r="DT22" s="603"/>
      <c r="DU22" s="603"/>
      <c r="DV22" s="603"/>
      <c r="DW22" s="603"/>
      <c r="DX22" s="603"/>
      <c r="DY22" s="603"/>
      <c r="DZ22" s="603"/>
      <c r="EA22" s="603"/>
      <c r="EB22" s="603"/>
    </row>
    <row r="23" spans="1:132" s="605" customFormat="1" ht="20.100000000000001" customHeight="1">
      <c r="A23" s="657" t="s">
        <v>1627</v>
      </c>
      <c r="B23" s="732">
        <f>'예산세입(상담)'!O22</f>
        <v>323393000</v>
      </c>
      <c r="C23" s="658">
        <f t="shared" si="5"/>
        <v>3.7095397341140743E-2</v>
      </c>
      <c r="D23" s="732">
        <f>'예산세입(상담)'!Q20</f>
        <v>231000000</v>
      </c>
      <c r="E23" s="658">
        <f t="shared" si="1"/>
        <v>3.9654739402270892E-2</v>
      </c>
      <c r="F23" s="732">
        <f t="shared" si="6"/>
        <v>92393000</v>
      </c>
      <c r="G23" s="659">
        <f t="shared" si="7"/>
        <v>0.39996969696969698</v>
      </c>
      <c r="H23" s="602"/>
      <c r="I23" s="629"/>
      <c r="J23" s="604">
        <f>SUM(J11:J22)</f>
        <v>8717874000</v>
      </c>
      <c r="K23" s="604">
        <f>O11+K12+K13+K14+K15+K16+K18+K19+K20+K21+K22</f>
        <v>5875285000</v>
      </c>
      <c r="L23" s="603"/>
      <c r="M23" s="603"/>
      <c r="N23" s="603"/>
      <c r="O23" s="603"/>
      <c r="P23" s="603"/>
      <c r="Q23" s="603"/>
      <c r="R23" s="603"/>
      <c r="S23" s="603"/>
      <c r="T23" s="603"/>
      <c r="U23" s="603"/>
      <c r="V23" s="603"/>
      <c r="W23" s="603"/>
      <c r="X23" s="603"/>
      <c r="Y23" s="603"/>
      <c r="Z23" s="603"/>
      <c r="AA23" s="603"/>
      <c r="AB23" s="603"/>
      <c r="AC23" s="603"/>
      <c r="AD23" s="603"/>
      <c r="AE23" s="603"/>
      <c r="AF23" s="603"/>
      <c r="AG23" s="603"/>
      <c r="AH23" s="603"/>
      <c r="AI23" s="603"/>
      <c r="AJ23" s="603"/>
      <c r="AK23" s="603"/>
      <c r="AL23" s="603"/>
      <c r="AM23" s="603"/>
      <c r="AN23" s="603"/>
      <c r="AO23" s="603"/>
      <c r="AP23" s="603"/>
      <c r="AQ23" s="603"/>
      <c r="AR23" s="603"/>
      <c r="AS23" s="603"/>
      <c r="AT23" s="603"/>
      <c r="AU23" s="603"/>
      <c r="AV23" s="603"/>
      <c r="AW23" s="603"/>
      <c r="AX23" s="603"/>
      <c r="AY23" s="603"/>
      <c r="AZ23" s="603"/>
      <c r="BA23" s="603"/>
      <c r="BB23" s="603"/>
      <c r="BC23" s="603"/>
      <c r="BD23" s="603"/>
      <c r="BE23" s="603"/>
      <c r="BF23" s="603"/>
      <c r="BG23" s="603"/>
      <c r="BH23" s="603"/>
      <c r="BI23" s="603"/>
      <c r="BJ23" s="603"/>
      <c r="BK23" s="603"/>
      <c r="BL23" s="603"/>
      <c r="BM23" s="603"/>
      <c r="BN23" s="603"/>
      <c r="BO23" s="603"/>
      <c r="BP23" s="603"/>
      <c r="BQ23" s="603"/>
      <c r="BR23" s="603"/>
      <c r="BS23" s="603"/>
      <c r="BT23" s="603"/>
      <c r="BU23" s="603"/>
      <c r="BV23" s="603"/>
      <c r="BW23" s="603"/>
      <c r="BX23" s="603"/>
      <c r="BY23" s="603"/>
      <c r="BZ23" s="603"/>
      <c r="CA23" s="603"/>
      <c r="CB23" s="603"/>
      <c r="CC23" s="603"/>
      <c r="CD23" s="603"/>
      <c r="CE23" s="603"/>
      <c r="CF23" s="603"/>
      <c r="CG23" s="603"/>
      <c r="CH23" s="603"/>
      <c r="CI23" s="603"/>
      <c r="CJ23" s="603"/>
      <c r="CK23" s="603"/>
      <c r="CL23" s="603"/>
      <c r="CM23" s="603"/>
      <c r="CN23" s="603"/>
      <c r="CO23" s="603"/>
      <c r="CP23" s="603"/>
      <c r="CQ23" s="603"/>
      <c r="CR23" s="603"/>
      <c r="CS23" s="603"/>
      <c r="CT23" s="603"/>
      <c r="CU23" s="603"/>
      <c r="CV23" s="603"/>
      <c r="CW23" s="603"/>
      <c r="CX23" s="603"/>
      <c r="CY23" s="603"/>
      <c r="CZ23" s="603"/>
      <c r="DA23" s="603"/>
      <c r="DB23" s="603"/>
      <c r="DC23" s="603"/>
      <c r="DD23" s="603"/>
      <c r="DE23" s="603"/>
      <c r="DF23" s="603"/>
      <c r="DG23" s="603"/>
      <c r="DH23" s="603"/>
      <c r="DI23" s="603"/>
      <c r="DJ23" s="603"/>
      <c r="DK23" s="603"/>
      <c r="DL23" s="603"/>
      <c r="DM23" s="603"/>
      <c r="DN23" s="603"/>
      <c r="DO23" s="603"/>
      <c r="DP23" s="603"/>
      <c r="DQ23" s="603"/>
      <c r="DR23" s="603"/>
      <c r="DS23" s="603"/>
      <c r="DT23" s="603"/>
      <c r="DU23" s="603"/>
      <c r="DV23" s="603"/>
      <c r="DW23" s="603"/>
      <c r="DX23" s="603"/>
      <c r="DY23" s="603"/>
      <c r="DZ23" s="603"/>
      <c r="EA23" s="603"/>
      <c r="EB23" s="603"/>
    </row>
    <row r="24" spans="1:132" s="605" customFormat="1" ht="20.100000000000001" customHeight="1">
      <c r="A24" s="624" t="s">
        <v>1628</v>
      </c>
      <c r="B24" s="733">
        <f>'예산세입(화정)'!P29</f>
        <v>118473000</v>
      </c>
      <c r="C24" s="626">
        <f t="shared" si="5"/>
        <v>1.3589666471435582E-2</v>
      </c>
      <c r="D24" s="733">
        <f>'예산세입(화정)'!Q29</f>
        <v>80325000</v>
      </c>
      <c r="E24" s="626">
        <f t="shared" si="1"/>
        <v>1.3789034383062379E-2</v>
      </c>
      <c r="F24" s="733">
        <f t="shared" si="6"/>
        <v>38148000</v>
      </c>
      <c r="G24" s="628">
        <f t="shared" si="7"/>
        <v>0.47492063492063491</v>
      </c>
      <c r="H24" s="602"/>
      <c r="I24" s="629"/>
      <c r="J24" s="603"/>
      <c r="K24" s="603"/>
      <c r="L24" s="603"/>
      <c r="M24" s="603"/>
      <c r="N24" s="603"/>
      <c r="O24" s="603"/>
      <c r="P24" s="603"/>
      <c r="Q24" s="603"/>
      <c r="R24" s="603"/>
      <c r="S24" s="603"/>
      <c r="T24" s="603"/>
      <c r="U24" s="603"/>
      <c r="V24" s="603"/>
      <c r="W24" s="603"/>
      <c r="X24" s="603"/>
      <c r="Y24" s="603"/>
      <c r="Z24" s="603"/>
      <c r="AA24" s="603"/>
      <c r="AB24" s="603"/>
      <c r="AC24" s="603"/>
      <c r="AD24" s="603"/>
      <c r="AE24" s="603"/>
      <c r="AF24" s="603"/>
      <c r="AG24" s="603"/>
      <c r="AH24" s="603"/>
      <c r="AI24" s="603"/>
      <c r="AJ24" s="603"/>
      <c r="AK24" s="603"/>
      <c r="AL24" s="603"/>
      <c r="AM24" s="603"/>
      <c r="AN24" s="603"/>
      <c r="AO24" s="603"/>
      <c r="AP24" s="603"/>
      <c r="AQ24" s="603"/>
      <c r="AR24" s="603"/>
      <c r="AS24" s="603"/>
      <c r="AT24" s="603"/>
      <c r="AU24" s="603"/>
      <c r="AV24" s="603"/>
      <c r="AW24" s="603"/>
      <c r="AX24" s="603"/>
      <c r="AY24" s="603"/>
      <c r="AZ24" s="603"/>
      <c r="BA24" s="603"/>
      <c r="BB24" s="603"/>
      <c r="BC24" s="603"/>
      <c r="BD24" s="603"/>
      <c r="BE24" s="603"/>
      <c r="BF24" s="603"/>
      <c r="BG24" s="603"/>
      <c r="BH24" s="603"/>
      <c r="BI24" s="603"/>
      <c r="BJ24" s="603"/>
      <c r="BK24" s="603"/>
      <c r="BL24" s="603"/>
      <c r="BM24" s="603"/>
      <c r="BN24" s="603"/>
      <c r="BO24" s="603"/>
      <c r="BP24" s="603"/>
      <c r="BQ24" s="603"/>
      <c r="BR24" s="603"/>
      <c r="BS24" s="603"/>
      <c r="BT24" s="603"/>
      <c r="BU24" s="603"/>
      <c r="BV24" s="603"/>
      <c r="BW24" s="603"/>
      <c r="BX24" s="603"/>
      <c r="BY24" s="603"/>
      <c r="BZ24" s="603"/>
      <c r="CA24" s="603"/>
      <c r="CB24" s="603"/>
      <c r="CC24" s="603"/>
      <c r="CD24" s="603"/>
      <c r="CE24" s="603"/>
      <c r="CF24" s="603"/>
      <c r="CG24" s="603"/>
      <c r="CH24" s="603"/>
      <c r="CI24" s="603"/>
      <c r="CJ24" s="603"/>
      <c r="CK24" s="603"/>
      <c r="CL24" s="603"/>
      <c r="CM24" s="603"/>
      <c r="CN24" s="603"/>
      <c r="CO24" s="603"/>
      <c r="CP24" s="603"/>
      <c r="CQ24" s="603"/>
      <c r="CR24" s="603"/>
      <c r="CS24" s="603"/>
      <c r="CT24" s="603"/>
      <c r="CU24" s="603"/>
      <c r="CV24" s="603"/>
      <c r="CW24" s="603"/>
      <c r="CX24" s="603"/>
      <c r="CY24" s="603"/>
      <c r="CZ24" s="603"/>
      <c r="DA24" s="603"/>
      <c r="DB24" s="603"/>
      <c r="DC24" s="603"/>
      <c r="DD24" s="603"/>
      <c r="DE24" s="603"/>
      <c r="DF24" s="603"/>
      <c r="DG24" s="603"/>
      <c r="DH24" s="603"/>
      <c r="DI24" s="603"/>
      <c r="DJ24" s="603"/>
      <c r="DK24" s="603"/>
      <c r="DL24" s="603"/>
      <c r="DM24" s="603"/>
      <c r="DN24" s="603"/>
      <c r="DO24" s="603"/>
      <c r="DP24" s="603"/>
      <c r="DQ24" s="603"/>
      <c r="DR24" s="603"/>
      <c r="DS24" s="603"/>
      <c r="DT24" s="603"/>
      <c r="DU24" s="603"/>
      <c r="DV24" s="603"/>
      <c r="DW24" s="603"/>
      <c r="DX24" s="603"/>
      <c r="DY24" s="603"/>
      <c r="DZ24" s="603"/>
      <c r="EA24" s="603"/>
      <c r="EB24" s="603"/>
    </row>
    <row r="25" spans="1:132" s="605" customFormat="1" ht="20.100000000000001" customHeight="1">
      <c r="A25" s="635" t="s">
        <v>2515</v>
      </c>
      <c r="B25" s="731">
        <f>'예산세입(백마)'!P18</f>
        <v>69415000</v>
      </c>
      <c r="C25" s="636">
        <f t="shared" si="5"/>
        <v>7.962377065784617E-3</v>
      </c>
      <c r="D25" s="731">
        <f>'예산세입(백마)'!Q18</f>
        <v>57750000</v>
      </c>
      <c r="E25" s="636">
        <f t="shared" si="1"/>
        <v>9.9136848505677229E-3</v>
      </c>
      <c r="F25" s="731">
        <f t="shared" si="6"/>
        <v>11665000</v>
      </c>
      <c r="G25" s="637">
        <f t="shared" si="7"/>
        <v>0.201991341991342</v>
      </c>
      <c r="H25" s="602"/>
      <c r="I25" s="629" t="s">
        <v>2601</v>
      </c>
      <c r="J25" s="724">
        <f>B9+B17</f>
        <v>5999764000</v>
      </c>
      <c r="K25" s="724">
        <f>C9+C17</f>
        <v>0.68821412192926845</v>
      </c>
      <c r="L25" s="724">
        <f t="shared" ref="L25" si="8">D9+D17</f>
        <v>4323453000</v>
      </c>
      <c r="M25" s="724">
        <f>J25-L25</f>
        <v>1676311000</v>
      </c>
      <c r="N25" s="724"/>
      <c r="O25" s="724"/>
      <c r="P25" s="724"/>
      <c r="Q25" s="724"/>
      <c r="R25" s="724"/>
      <c r="S25" s="603"/>
      <c r="T25" s="603"/>
      <c r="U25" s="603"/>
      <c r="V25" s="603"/>
      <c r="W25" s="603"/>
      <c r="X25" s="603"/>
      <c r="Y25" s="603"/>
      <c r="Z25" s="603"/>
      <c r="AA25" s="603"/>
      <c r="AB25" s="603"/>
      <c r="AC25" s="603"/>
      <c r="AD25" s="603"/>
      <c r="AE25" s="603"/>
      <c r="AF25" s="603"/>
      <c r="AG25" s="603"/>
      <c r="AH25" s="603"/>
      <c r="AI25" s="603"/>
      <c r="AJ25" s="603"/>
      <c r="AK25" s="603"/>
      <c r="AL25" s="603"/>
      <c r="AM25" s="603"/>
      <c r="AN25" s="603"/>
      <c r="AO25" s="603"/>
      <c r="AP25" s="603"/>
      <c r="AQ25" s="603"/>
      <c r="AR25" s="603"/>
      <c r="AS25" s="603"/>
      <c r="AT25" s="603"/>
      <c r="AU25" s="603"/>
      <c r="AV25" s="603"/>
      <c r="AW25" s="603"/>
      <c r="AX25" s="603"/>
      <c r="AY25" s="603"/>
      <c r="AZ25" s="603"/>
      <c r="BA25" s="603"/>
      <c r="BB25" s="603"/>
      <c r="BC25" s="603"/>
      <c r="BD25" s="603"/>
      <c r="BE25" s="603"/>
      <c r="BF25" s="603"/>
      <c r="BG25" s="603"/>
      <c r="BH25" s="603"/>
      <c r="BI25" s="603"/>
      <c r="BJ25" s="603"/>
      <c r="BK25" s="603"/>
      <c r="BL25" s="603"/>
      <c r="BM25" s="603"/>
      <c r="BN25" s="603"/>
      <c r="BO25" s="603"/>
      <c r="BP25" s="603"/>
      <c r="BQ25" s="603"/>
      <c r="BR25" s="603"/>
      <c r="BS25" s="603"/>
      <c r="BT25" s="603"/>
      <c r="BU25" s="603"/>
      <c r="BV25" s="603"/>
      <c r="BW25" s="603"/>
      <c r="BX25" s="603"/>
      <c r="BY25" s="603"/>
      <c r="BZ25" s="603"/>
      <c r="CA25" s="603"/>
      <c r="CB25" s="603"/>
      <c r="CC25" s="603"/>
      <c r="CD25" s="603"/>
      <c r="CE25" s="603"/>
      <c r="CF25" s="603"/>
      <c r="CG25" s="603"/>
      <c r="CH25" s="603"/>
      <c r="CI25" s="603"/>
      <c r="CJ25" s="603"/>
      <c r="CK25" s="603"/>
      <c r="CL25" s="603"/>
      <c r="CM25" s="603"/>
      <c r="CN25" s="603"/>
      <c r="CO25" s="603"/>
      <c r="CP25" s="603"/>
      <c r="CQ25" s="603"/>
      <c r="CR25" s="603"/>
      <c r="CS25" s="603"/>
      <c r="CT25" s="603"/>
      <c r="CU25" s="603"/>
      <c r="CV25" s="603"/>
      <c r="CW25" s="603"/>
      <c r="CX25" s="603"/>
      <c r="CY25" s="603"/>
      <c r="CZ25" s="603"/>
      <c r="DA25" s="603"/>
      <c r="DB25" s="603"/>
      <c r="DC25" s="603"/>
      <c r="DD25" s="603"/>
      <c r="DE25" s="603"/>
      <c r="DF25" s="603"/>
      <c r="DG25" s="603"/>
      <c r="DH25" s="603"/>
      <c r="DI25" s="603"/>
      <c r="DJ25" s="603"/>
      <c r="DK25" s="603"/>
      <c r="DL25" s="603"/>
      <c r="DM25" s="603"/>
      <c r="DN25" s="603"/>
      <c r="DO25" s="603"/>
      <c r="DP25" s="603"/>
      <c r="DQ25" s="603"/>
      <c r="DR25" s="603"/>
      <c r="DS25" s="603"/>
      <c r="DT25" s="603"/>
      <c r="DU25" s="603"/>
      <c r="DV25" s="603"/>
      <c r="DW25" s="603"/>
      <c r="DX25" s="603"/>
      <c r="DY25" s="603"/>
      <c r="DZ25" s="603"/>
      <c r="EA25" s="603"/>
      <c r="EB25" s="603"/>
    </row>
    <row r="26" spans="1:132" s="605" customFormat="1" ht="20.100000000000001" customHeight="1">
      <c r="A26" s="635" t="s">
        <v>2516</v>
      </c>
      <c r="B26" s="731">
        <f>'예산세입(능곡)'!P18</f>
        <v>67370000</v>
      </c>
      <c r="C26" s="636">
        <f t="shared" si="5"/>
        <v>7.7278015259224899E-3</v>
      </c>
      <c r="D26" s="731">
        <f>'예산세입(능곡)'!Q18</f>
        <v>52500000</v>
      </c>
      <c r="E26" s="636">
        <f>+D26/$D$7</f>
        <v>9.012440773243386E-3</v>
      </c>
      <c r="F26" s="731">
        <f t="shared" si="6"/>
        <v>14870000</v>
      </c>
      <c r="G26" s="637">
        <f t="shared" si="7"/>
        <v>0.28323809523809523</v>
      </c>
      <c r="H26" s="602"/>
      <c r="I26" s="629" t="s">
        <v>2602</v>
      </c>
      <c r="J26" s="724">
        <f>B27</f>
        <v>2160000</v>
      </c>
      <c r="K26" s="724">
        <f t="shared" ref="K26:L26" si="9">C27</f>
        <v>2.4776682938982598E-4</v>
      </c>
      <c r="L26" s="724">
        <f t="shared" si="9"/>
        <v>5003000</v>
      </c>
      <c r="M26" s="724">
        <f t="shared" ref="M26:M32" si="10">J26-L26</f>
        <v>-2843000</v>
      </c>
      <c r="N26" s="724"/>
      <c r="O26" s="724"/>
      <c r="P26" s="724"/>
      <c r="Q26" s="724"/>
      <c r="R26" s="724"/>
      <c r="S26" s="603"/>
      <c r="T26" s="603"/>
      <c r="U26" s="603"/>
      <c r="V26" s="603"/>
      <c r="W26" s="603"/>
      <c r="X26" s="603"/>
      <c r="Y26" s="603"/>
      <c r="Z26" s="603"/>
      <c r="AA26" s="603"/>
      <c r="AB26" s="603"/>
      <c r="AC26" s="603"/>
      <c r="AD26" s="603"/>
      <c r="AE26" s="603"/>
      <c r="AF26" s="603"/>
      <c r="AG26" s="603"/>
      <c r="AH26" s="603"/>
      <c r="AI26" s="603"/>
      <c r="AJ26" s="603"/>
      <c r="AK26" s="603"/>
      <c r="AL26" s="603"/>
      <c r="AM26" s="603"/>
      <c r="AN26" s="603"/>
      <c r="AO26" s="603"/>
      <c r="AP26" s="603"/>
      <c r="AQ26" s="603"/>
      <c r="AR26" s="603"/>
      <c r="AS26" s="603"/>
      <c r="AT26" s="603"/>
      <c r="AU26" s="603"/>
      <c r="AV26" s="603"/>
      <c r="AW26" s="603"/>
      <c r="AX26" s="603"/>
      <c r="AY26" s="603"/>
      <c r="AZ26" s="603"/>
      <c r="BA26" s="603"/>
      <c r="BB26" s="603"/>
      <c r="BC26" s="603"/>
      <c r="BD26" s="603"/>
      <c r="BE26" s="603"/>
      <c r="BF26" s="603"/>
      <c r="BG26" s="603"/>
      <c r="BH26" s="603"/>
      <c r="BI26" s="603"/>
      <c r="BJ26" s="603"/>
      <c r="BK26" s="603"/>
      <c r="BL26" s="603"/>
      <c r="BM26" s="603"/>
      <c r="BN26" s="603"/>
      <c r="BO26" s="603"/>
      <c r="BP26" s="603"/>
      <c r="BQ26" s="603"/>
      <c r="BR26" s="603"/>
      <c r="BS26" s="603"/>
      <c r="BT26" s="603"/>
      <c r="BU26" s="603"/>
      <c r="BV26" s="603"/>
      <c r="BW26" s="603"/>
      <c r="BX26" s="603"/>
      <c r="BY26" s="603"/>
      <c r="BZ26" s="603"/>
      <c r="CA26" s="603"/>
      <c r="CB26" s="603"/>
      <c r="CC26" s="603"/>
      <c r="CD26" s="603"/>
      <c r="CE26" s="603"/>
      <c r="CF26" s="603"/>
      <c r="CG26" s="603"/>
      <c r="CH26" s="603"/>
      <c r="CI26" s="603"/>
      <c r="CJ26" s="603"/>
      <c r="CK26" s="603"/>
      <c r="CL26" s="603"/>
      <c r="CM26" s="603"/>
      <c r="CN26" s="603"/>
      <c r="CO26" s="603"/>
      <c r="CP26" s="603"/>
      <c r="CQ26" s="603"/>
      <c r="CR26" s="603"/>
      <c r="CS26" s="603"/>
      <c r="CT26" s="603"/>
      <c r="CU26" s="603"/>
      <c r="CV26" s="603"/>
      <c r="CW26" s="603"/>
      <c r="CX26" s="603"/>
      <c r="CY26" s="603"/>
      <c r="CZ26" s="603"/>
      <c r="DA26" s="603"/>
      <c r="DB26" s="603"/>
      <c r="DC26" s="603"/>
      <c r="DD26" s="603"/>
      <c r="DE26" s="603"/>
      <c r="DF26" s="603"/>
      <c r="DG26" s="603"/>
      <c r="DH26" s="603"/>
      <c r="DI26" s="603"/>
      <c r="DJ26" s="603"/>
      <c r="DK26" s="603"/>
      <c r="DL26" s="603"/>
      <c r="DM26" s="603"/>
      <c r="DN26" s="603"/>
      <c r="DO26" s="603"/>
      <c r="DP26" s="603"/>
      <c r="DQ26" s="603"/>
      <c r="DR26" s="603"/>
      <c r="DS26" s="603"/>
      <c r="DT26" s="603"/>
      <c r="DU26" s="603"/>
      <c r="DV26" s="603"/>
      <c r="DW26" s="603"/>
      <c r="DX26" s="603"/>
      <c r="DY26" s="603"/>
      <c r="DZ26" s="603"/>
      <c r="EA26" s="603"/>
      <c r="EB26" s="603"/>
    </row>
    <row r="27" spans="1:132" s="605" customFormat="1" ht="20.100000000000001" customHeight="1">
      <c r="A27" s="646" t="s">
        <v>31</v>
      </c>
      <c r="B27" s="647">
        <f>SUM(B28:B39)</f>
        <v>2160000</v>
      </c>
      <c r="C27" s="648">
        <f t="shared" si="5"/>
        <v>2.4776682938982598E-4</v>
      </c>
      <c r="D27" s="647">
        <f>SUM(D28:D39)</f>
        <v>5003000</v>
      </c>
      <c r="E27" s="730">
        <f t="shared" si="1"/>
        <v>8.5884268930546011E-4</v>
      </c>
      <c r="F27" s="647">
        <f>SUM(F28:F39)</f>
        <v>-2843000</v>
      </c>
      <c r="G27" s="649">
        <f>+F27/D27</f>
        <v>-0.56825904457325604</v>
      </c>
      <c r="H27" s="650"/>
      <c r="I27" s="629" t="s">
        <v>2603</v>
      </c>
      <c r="J27" s="724">
        <f>B40</f>
        <v>2408000</v>
      </c>
      <c r="K27" s="724">
        <f t="shared" ref="K27:L27" si="11">C40</f>
        <v>2.7621413202347272E-4</v>
      </c>
      <c r="L27" s="724">
        <f t="shared" si="11"/>
        <v>2100000</v>
      </c>
      <c r="M27" s="724">
        <f t="shared" si="10"/>
        <v>308000</v>
      </c>
      <c r="N27" s="724"/>
      <c r="O27" s="724"/>
      <c r="P27" s="724"/>
      <c r="Q27" s="724"/>
      <c r="R27" s="724"/>
      <c r="S27" s="603"/>
      <c r="T27" s="603"/>
      <c r="U27" s="603"/>
      <c r="V27" s="603"/>
      <c r="W27" s="603"/>
      <c r="X27" s="603"/>
      <c r="Y27" s="603"/>
      <c r="Z27" s="603"/>
      <c r="AA27" s="603"/>
      <c r="AB27" s="603"/>
      <c r="AC27" s="603"/>
      <c r="AD27" s="603"/>
      <c r="AE27" s="603"/>
      <c r="AF27" s="603"/>
      <c r="AG27" s="603"/>
      <c r="AH27" s="603"/>
      <c r="AI27" s="603"/>
      <c r="AJ27" s="603"/>
      <c r="AK27" s="603"/>
      <c r="AL27" s="603"/>
      <c r="AM27" s="603"/>
      <c r="AN27" s="603"/>
      <c r="AO27" s="603"/>
      <c r="AP27" s="603"/>
      <c r="AQ27" s="603"/>
      <c r="AR27" s="603"/>
      <c r="AS27" s="603"/>
      <c r="AT27" s="603"/>
      <c r="AU27" s="603"/>
      <c r="AV27" s="603"/>
      <c r="AW27" s="603"/>
      <c r="AX27" s="603"/>
      <c r="AY27" s="603"/>
      <c r="AZ27" s="603"/>
      <c r="BA27" s="603"/>
      <c r="BB27" s="603"/>
      <c r="BC27" s="603"/>
      <c r="BD27" s="603"/>
      <c r="BE27" s="603"/>
      <c r="BF27" s="603"/>
      <c r="BG27" s="603"/>
      <c r="BH27" s="603"/>
      <c r="BI27" s="603"/>
      <c r="BJ27" s="603"/>
      <c r="BK27" s="603"/>
      <c r="BL27" s="603"/>
      <c r="BM27" s="603"/>
      <c r="BN27" s="603"/>
      <c r="BO27" s="603"/>
      <c r="BP27" s="603"/>
      <c r="BQ27" s="603"/>
      <c r="BR27" s="603"/>
      <c r="BS27" s="603"/>
      <c r="BT27" s="603"/>
      <c r="BU27" s="603"/>
      <c r="BV27" s="603"/>
      <c r="BW27" s="603"/>
      <c r="BX27" s="603"/>
      <c r="BY27" s="603"/>
      <c r="BZ27" s="603"/>
      <c r="CA27" s="603"/>
      <c r="CB27" s="603"/>
      <c r="CC27" s="603"/>
      <c r="CD27" s="603"/>
      <c r="CE27" s="603"/>
      <c r="CF27" s="603"/>
      <c r="CG27" s="603"/>
      <c r="CH27" s="603"/>
      <c r="CI27" s="603"/>
      <c r="CJ27" s="603"/>
      <c r="CK27" s="603"/>
      <c r="CL27" s="603"/>
      <c r="CM27" s="603"/>
      <c r="CN27" s="603"/>
      <c r="CO27" s="603"/>
      <c r="CP27" s="603"/>
      <c r="CQ27" s="603"/>
      <c r="CR27" s="603"/>
      <c r="CS27" s="603"/>
      <c r="CT27" s="603"/>
      <c r="CU27" s="603"/>
      <c r="CV27" s="603"/>
      <c r="CW27" s="603"/>
      <c r="CX27" s="603"/>
      <c r="CY27" s="603"/>
      <c r="CZ27" s="603"/>
      <c r="DA27" s="603"/>
      <c r="DB27" s="603"/>
      <c r="DC27" s="603"/>
      <c r="DD27" s="603"/>
      <c r="DE27" s="603"/>
      <c r="DF27" s="603"/>
      <c r="DG27" s="603"/>
      <c r="DH27" s="603"/>
      <c r="DI27" s="603"/>
      <c r="DJ27" s="603"/>
      <c r="DK27" s="603"/>
      <c r="DL27" s="603"/>
      <c r="DM27" s="603"/>
      <c r="DN27" s="603"/>
      <c r="DO27" s="603"/>
      <c r="DP27" s="603"/>
      <c r="DQ27" s="603"/>
      <c r="DR27" s="603"/>
      <c r="DS27" s="603"/>
      <c r="DT27" s="603"/>
      <c r="DU27" s="603"/>
      <c r="DV27" s="603"/>
      <c r="DW27" s="603"/>
      <c r="DX27" s="603"/>
      <c r="DY27" s="603"/>
      <c r="DZ27" s="603"/>
      <c r="EA27" s="603"/>
      <c r="EB27" s="603"/>
    </row>
    <row r="28" spans="1:132" s="605" customFormat="1" ht="20.100000000000001" customHeight="1">
      <c r="A28" s="624" t="s">
        <v>1623</v>
      </c>
      <c r="B28" s="625">
        <f>'예산세입(사무국)'!M9</f>
        <v>720000</v>
      </c>
      <c r="C28" s="626">
        <f t="shared" si="5"/>
        <v>8.2588943129941999E-5</v>
      </c>
      <c r="D28" s="625">
        <f>ROUNDUP('예산세입(사무국)'!N9,-3)</f>
        <v>200000</v>
      </c>
      <c r="E28" s="626">
        <f t="shared" si="1"/>
        <v>3.4333107707593846E-5</v>
      </c>
      <c r="F28" s="627">
        <f>+B28-D28</f>
        <v>520000</v>
      </c>
      <c r="G28" s="628">
        <f>+F28/D28</f>
        <v>2.6</v>
      </c>
      <c r="H28" s="602"/>
      <c r="I28" s="629" t="s">
        <v>2604</v>
      </c>
      <c r="J28" s="724">
        <f>B45</f>
        <v>2002770000</v>
      </c>
      <c r="K28" s="724">
        <f t="shared" ref="K28:L28" si="12">C45</f>
        <v>0.22973146893382493</v>
      </c>
      <c r="L28" s="724">
        <f t="shared" si="12"/>
        <v>1078032000</v>
      </c>
      <c r="M28" s="724">
        <f t="shared" si="10"/>
        <v>924738000</v>
      </c>
      <c r="N28" s="724"/>
      <c r="O28" s="724"/>
      <c r="P28" s="724"/>
      <c r="Q28" s="724"/>
      <c r="R28" s="724"/>
      <c r="S28" s="603"/>
      <c r="T28" s="603"/>
      <c r="U28" s="603"/>
      <c r="V28" s="603"/>
      <c r="W28" s="603"/>
      <c r="X28" s="603"/>
      <c r="Y28" s="603"/>
      <c r="Z28" s="603"/>
      <c r="AA28" s="603"/>
      <c r="AB28" s="603"/>
      <c r="AC28" s="603"/>
      <c r="AD28" s="603"/>
      <c r="AE28" s="603"/>
      <c r="AF28" s="603"/>
      <c r="AG28" s="603"/>
      <c r="AH28" s="603"/>
      <c r="AI28" s="603"/>
      <c r="AJ28" s="603"/>
      <c r="AK28" s="603"/>
      <c r="AL28" s="603"/>
      <c r="AM28" s="603"/>
      <c r="AN28" s="603"/>
      <c r="AO28" s="603"/>
      <c r="AP28" s="603"/>
      <c r="AQ28" s="603"/>
      <c r="AR28" s="603"/>
      <c r="AS28" s="603"/>
      <c r="AT28" s="603"/>
      <c r="AU28" s="603"/>
      <c r="AV28" s="603"/>
      <c r="AW28" s="603"/>
      <c r="AX28" s="603"/>
      <c r="AY28" s="603"/>
      <c r="AZ28" s="603"/>
      <c r="BA28" s="603"/>
      <c r="BB28" s="603"/>
      <c r="BC28" s="603"/>
      <c r="BD28" s="603"/>
      <c r="BE28" s="603"/>
      <c r="BF28" s="603"/>
      <c r="BG28" s="603"/>
      <c r="BH28" s="603"/>
      <c r="BI28" s="603"/>
      <c r="BJ28" s="603"/>
      <c r="BK28" s="603"/>
      <c r="BL28" s="603"/>
      <c r="BM28" s="603"/>
      <c r="BN28" s="603"/>
      <c r="BO28" s="603"/>
      <c r="BP28" s="603"/>
      <c r="BQ28" s="603"/>
      <c r="BR28" s="603"/>
      <c r="BS28" s="603"/>
      <c r="BT28" s="603"/>
      <c r="BU28" s="603"/>
      <c r="BV28" s="603"/>
      <c r="BW28" s="603"/>
      <c r="BX28" s="603"/>
      <c r="BY28" s="603"/>
      <c r="BZ28" s="603"/>
      <c r="CA28" s="603"/>
      <c r="CB28" s="603"/>
      <c r="CC28" s="603"/>
      <c r="CD28" s="603"/>
      <c r="CE28" s="603"/>
      <c r="CF28" s="603"/>
      <c r="CG28" s="603"/>
      <c r="CH28" s="603"/>
      <c r="CI28" s="603"/>
      <c r="CJ28" s="603"/>
      <c r="CK28" s="603"/>
      <c r="CL28" s="603"/>
      <c r="CM28" s="603"/>
      <c r="CN28" s="603"/>
      <c r="CO28" s="603"/>
      <c r="CP28" s="603"/>
      <c r="CQ28" s="603"/>
      <c r="CR28" s="603"/>
      <c r="CS28" s="603"/>
      <c r="CT28" s="603"/>
      <c r="CU28" s="603"/>
      <c r="CV28" s="603"/>
      <c r="CW28" s="603"/>
      <c r="CX28" s="603"/>
      <c r="CY28" s="603"/>
      <c r="CZ28" s="603"/>
      <c r="DA28" s="603"/>
      <c r="DB28" s="603"/>
      <c r="DC28" s="603"/>
      <c r="DD28" s="603"/>
      <c r="DE28" s="603"/>
      <c r="DF28" s="603"/>
      <c r="DG28" s="603"/>
      <c r="DH28" s="603"/>
      <c r="DI28" s="603"/>
      <c r="DJ28" s="603"/>
      <c r="DK28" s="603"/>
      <c r="DL28" s="603"/>
      <c r="DM28" s="603"/>
      <c r="DN28" s="603"/>
      <c r="DO28" s="603"/>
      <c r="DP28" s="603"/>
      <c r="DQ28" s="603"/>
      <c r="DR28" s="603"/>
      <c r="DS28" s="603"/>
      <c r="DT28" s="603"/>
      <c r="DU28" s="603"/>
      <c r="DV28" s="603"/>
      <c r="DW28" s="603"/>
      <c r="DX28" s="603"/>
      <c r="DY28" s="603"/>
      <c r="DZ28" s="603"/>
      <c r="EA28" s="603"/>
      <c r="EB28" s="603"/>
    </row>
    <row r="29" spans="1:132" s="605" customFormat="1" ht="20.100000000000001" customHeight="1">
      <c r="A29" s="635" t="s">
        <v>30</v>
      </c>
      <c r="B29" s="627">
        <f>'예산세입(마두)'!P78</f>
        <v>200000</v>
      </c>
      <c r="C29" s="664">
        <f t="shared" si="5"/>
        <v>2.2941373091650557E-5</v>
      </c>
      <c r="D29" s="627">
        <f>'예산세입(마두)'!Q78</f>
        <v>200000</v>
      </c>
      <c r="E29" s="664">
        <f t="shared" si="1"/>
        <v>3.4333107707593846E-5</v>
      </c>
      <c r="F29" s="627">
        <f>+B29-D29</f>
        <v>0</v>
      </c>
      <c r="G29" s="637">
        <f>+F29/D29</f>
        <v>0</v>
      </c>
      <c r="H29" s="602"/>
      <c r="I29" s="629" t="s">
        <v>2605</v>
      </c>
      <c r="J29" s="724">
        <f>B54</f>
        <v>33760000</v>
      </c>
      <c r="K29" s="724">
        <f t="shared" ref="K29:L29" si="13">C54</f>
        <v>3.8725037778706141E-3</v>
      </c>
      <c r="L29" s="724">
        <f t="shared" si="13"/>
        <v>33960000</v>
      </c>
      <c r="M29" s="724">
        <f t="shared" si="10"/>
        <v>-200000</v>
      </c>
      <c r="N29" s="724"/>
      <c r="O29" s="724"/>
      <c r="P29" s="724"/>
      <c r="Q29" s="724"/>
      <c r="R29" s="724"/>
      <c r="S29" s="603"/>
      <c r="T29" s="603"/>
      <c r="U29" s="603"/>
      <c r="V29" s="603"/>
      <c r="W29" s="603"/>
      <c r="X29" s="603"/>
      <c r="Y29" s="603"/>
      <c r="Z29" s="603"/>
      <c r="AA29" s="603"/>
      <c r="AB29" s="603"/>
      <c r="AC29" s="603"/>
      <c r="AD29" s="603"/>
      <c r="AE29" s="603"/>
      <c r="AF29" s="603"/>
      <c r="AG29" s="603"/>
      <c r="AH29" s="603"/>
      <c r="AI29" s="603"/>
      <c r="AJ29" s="603"/>
      <c r="AK29" s="603"/>
      <c r="AL29" s="603"/>
      <c r="AM29" s="603"/>
      <c r="AN29" s="603"/>
      <c r="AO29" s="603"/>
      <c r="AP29" s="603"/>
      <c r="AQ29" s="603"/>
      <c r="AR29" s="603"/>
      <c r="AS29" s="603"/>
      <c r="AT29" s="603"/>
      <c r="AU29" s="603"/>
      <c r="AV29" s="603"/>
      <c r="AW29" s="603"/>
      <c r="AX29" s="603"/>
      <c r="AY29" s="603"/>
      <c r="AZ29" s="603"/>
      <c r="BA29" s="603"/>
      <c r="BB29" s="603"/>
      <c r="BC29" s="603"/>
      <c r="BD29" s="603"/>
      <c r="BE29" s="603"/>
      <c r="BF29" s="603"/>
      <c r="BG29" s="603"/>
      <c r="BH29" s="603"/>
      <c r="BI29" s="603"/>
      <c r="BJ29" s="603"/>
      <c r="BK29" s="603"/>
      <c r="BL29" s="603"/>
      <c r="BM29" s="603"/>
      <c r="BN29" s="603"/>
      <c r="BO29" s="603"/>
      <c r="BP29" s="603"/>
      <c r="BQ29" s="603"/>
      <c r="BR29" s="603"/>
      <c r="BS29" s="603"/>
      <c r="BT29" s="603"/>
      <c r="BU29" s="603"/>
      <c r="BV29" s="603"/>
      <c r="BW29" s="603"/>
      <c r="BX29" s="603"/>
      <c r="BY29" s="603"/>
      <c r="BZ29" s="603"/>
      <c r="CA29" s="603"/>
      <c r="CB29" s="603"/>
      <c r="CC29" s="603"/>
      <c r="CD29" s="603"/>
      <c r="CE29" s="603"/>
      <c r="CF29" s="603"/>
      <c r="CG29" s="603"/>
      <c r="CH29" s="603"/>
      <c r="CI29" s="603"/>
      <c r="CJ29" s="603"/>
      <c r="CK29" s="603"/>
      <c r="CL29" s="603"/>
      <c r="CM29" s="603"/>
      <c r="CN29" s="603"/>
      <c r="CO29" s="603"/>
      <c r="CP29" s="603"/>
      <c r="CQ29" s="603"/>
      <c r="CR29" s="603"/>
      <c r="CS29" s="603"/>
      <c r="CT29" s="603"/>
      <c r="CU29" s="603"/>
      <c r="CV29" s="603"/>
      <c r="CW29" s="603"/>
      <c r="CX29" s="603"/>
      <c r="CY29" s="603"/>
      <c r="CZ29" s="603"/>
      <c r="DA29" s="603"/>
      <c r="DB29" s="603"/>
      <c r="DC29" s="603"/>
      <c r="DD29" s="603"/>
      <c r="DE29" s="603"/>
      <c r="DF29" s="603"/>
      <c r="DG29" s="603"/>
      <c r="DH29" s="603"/>
      <c r="DI29" s="603"/>
      <c r="DJ29" s="603"/>
      <c r="DK29" s="603"/>
      <c r="DL29" s="603"/>
      <c r="DM29" s="603"/>
      <c r="DN29" s="603"/>
      <c r="DO29" s="603"/>
      <c r="DP29" s="603"/>
      <c r="DQ29" s="603"/>
      <c r="DR29" s="603"/>
      <c r="DS29" s="603"/>
      <c r="DT29" s="603"/>
      <c r="DU29" s="603"/>
      <c r="DV29" s="603"/>
      <c r="DW29" s="603"/>
      <c r="DX29" s="603"/>
      <c r="DY29" s="603"/>
      <c r="DZ29" s="603"/>
      <c r="EA29" s="603"/>
      <c r="EB29" s="603"/>
    </row>
    <row r="30" spans="1:132" s="605" customFormat="1" ht="20.100000000000001" customHeight="1">
      <c r="A30" s="635" t="s">
        <v>1629</v>
      </c>
      <c r="B30" s="627">
        <f>'예산세입(진로)'!P9</f>
        <v>240000</v>
      </c>
      <c r="C30" s="636">
        <f t="shared" si="5"/>
        <v>2.7529647709980668E-5</v>
      </c>
      <c r="D30" s="627">
        <f>'예산세입(진로)'!Q9</f>
        <v>0</v>
      </c>
      <c r="E30" s="636">
        <f t="shared" si="1"/>
        <v>0</v>
      </c>
      <c r="F30" s="627">
        <f t="shared" ref="F30:F41" si="14">+B30-D30</f>
        <v>240000</v>
      </c>
      <c r="G30" s="637">
        <v>1</v>
      </c>
      <c r="H30" s="602"/>
      <c r="I30" s="629" t="s">
        <v>2606</v>
      </c>
      <c r="J30" s="724">
        <f>B61</f>
        <v>220002000</v>
      </c>
      <c r="K30" s="724">
        <f t="shared" ref="K30:L30" si="15">C61</f>
        <v>2.5235739814546528E-2</v>
      </c>
      <c r="L30" s="724">
        <f t="shared" si="15"/>
        <v>143787000</v>
      </c>
      <c r="M30" s="724">
        <f t="shared" si="10"/>
        <v>76215000</v>
      </c>
      <c r="N30" s="724"/>
      <c r="O30" s="724"/>
      <c r="P30" s="724"/>
      <c r="Q30" s="724"/>
      <c r="R30" s="724"/>
      <c r="S30" s="603"/>
      <c r="T30" s="603"/>
      <c r="U30" s="603"/>
      <c r="V30" s="603"/>
      <c r="W30" s="603"/>
      <c r="X30" s="603"/>
      <c r="Y30" s="603"/>
      <c r="Z30" s="603"/>
      <c r="AA30" s="603"/>
      <c r="AB30" s="603"/>
      <c r="AC30" s="603"/>
      <c r="AD30" s="603"/>
      <c r="AE30" s="603"/>
      <c r="AF30" s="603"/>
      <c r="AG30" s="603"/>
      <c r="AH30" s="603"/>
      <c r="AI30" s="603"/>
      <c r="AJ30" s="603"/>
      <c r="AK30" s="603"/>
      <c r="AL30" s="603"/>
      <c r="AM30" s="603"/>
      <c r="AN30" s="603"/>
      <c r="AO30" s="603"/>
      <c r="AP30" s="603"/>
      <c r="AQ30" s="603"/>
      <c r="AR30" s="603"/>
      <c r="AS30" s="603"/>
      <c r="AT30" s="603"/>
      <c r="AU30" s="603"/>
      <c r="AV30" s="603"/>
      <c r="AW30" s="603"/>
      <c r="AX30" s="603"/>
      <c r="AY30" s="603"/>
      <c r="AZ30" s="603"/>
      <c r="BA30" s="603"/>
      <c r="BB30" s="603"/>
      <c r="BC30" s="603"/>
      <c r="BD30" s="603"/>
      <c r="BE30" s="603"/>
      <c r="BF30" s="603"/>
      <c r="BG30" s="603"/>
      <c r="BH30" s="603"/>
      <c r="BI30" s="603"/>
      <c r="BJ30" s="603"/>
      <c r="BK30" s="603"/>
      <c r="BL30" s="603"/>
      <c r="BM30" s="603"/>
      <c r="BN30" s="603"/>
      <c r="BO30" s="603"/>
      <c r="BP30" s="603"/>
      <c r="BQ30" s="603"/>
      <c r="BR30" s="603"/>
      <c r="BS30" s="603"/>
      <c r="BT30" s="603"/>
      <c r="BU30" s="603"/>
      <c r="BV30" s="603"/>
      <c r="BW30" s="603"/>
      <c r="BX30" s="603"/>
      <c r="BY30" s="603"/>
      <c r="BZ30" s="603"/>
      <c r="CA30" s="603"/>
      <c r="CB30" s="603"/>
      <c r="CC30" s="603"/>
      <c r="CD30" s="603"/>
      <c r="CE30" s="603"/>
      <c r="CF30" s="603"/>
      <c r="CG30" s="603"/>
      <c r="CH30" s="603"/>
      <c r="CI30" s="603"/>
      <c r="CJ30" s="603"/>
      <c r="CK30" s="603"/>
      <c r="CL30" s="603"/>
      <c r="CM30" s="603"/>
      <c r="CN30" s="603"/>
      <c r="CO30" s="603"/>
      <c r="CP30" s="603"/>
      <c r="CQ30" s="603"/>
      <c r="CR30" s="603"/>
      <c r="CS30" s="603"/>
      <c r="CT30" s="603"/>
      <c r="CU30" s="603"/>
      <c r="CV30" s="603"/>
      <c r="CW30" s="603"/>
      <c r="CX30" s="603"/>
      <c r="CY30" s="603"/>
      <c r="CZ30" s="603"/>
      <c r="DA30" s="603"/>
      <c r="DB30" s="603"/>
      <c r="DC30" s="603"/>
      <c r="DD30" s="603"/>
      <c r="DE30" s="603"/>
      <c r="DF30" s="603"/>
      <c r="DG30" s="603"/>
      <c r="DH30" s="603"/>
      <c r="DI30" s="603"/>
      <c r="DJ30" s="603"/>
      <c r="DK30" s="603"/>
      <c r="DL30" s="603"/>
      <c r="DM30" s="603"/>
      <c r="DN30" s="603"/>
      <c r="DO30" s="603"/>
      <c r="DP30" s="603"/>
      <c r="DQ30" s="603"/>
      <c r="DR30" s="603"/>
      <c r="DS30" s="603"/>
      <c r="DT30" s="603"/>
      <c r="DU30" s="603"/>
      <c r="DV30" s="603"/>
      <c r="DW30" s="603"/>
      <c r="DX30" s="603"/>
      <c r="DY30" s="603"/>
      <c r="DZ30" s="603"/>
      <c r="EA30" s="603"/>
      <c r="EB30" s="603"/>
    </row>
    <row r="31" spans="1:132" s="605" customFormat="1" ht="20.100000000000001" customHeight="1">
      <c r="A31" s="635" t="s">
        <v>1624</v>
      </c>
      <c r="B31" s="627">
        <f>'예산세입(성사)'!P18</f>
        <v>100000</v>
      </c>
      <c r="C31" s="636">
        <f t="shared" si="5"/>
        <v>1.1470686545825279E-5</v>
      </c>
      <c r="D31" s="627">
        <f>'예산세입(성사)'!Q18</f>
        <v>100000</v>
      </c>
      <c r="E31" s="636">
        <f t="shared" si="1"/>
        <v>1.7166553853796923E-5</v>
      </c>
      <c r="F31" s="627">
        <f t="shared" si="14"/>
        <v>0</v>
      </c>
      <c r="G31" s="637">
        <f t="shared" ref="G31:G41" si="16">+F31/D31</f>
        <v>0</v>
      </c>
      <c r="H31" s="602"/>
      <c r="I31" s="629" t="s">
        <v>2607</v>
      </c>
      <c r="J31" s="604">
        <f>B42+B68</f>
        <v>407010000</v>
      </c>
      <c r="K31" s="604">
        <f t="shared" ref="K31:L31" si="17">C42+C68</f>
        <v>4.6686841310163457E-2</v>
      </c>
      <c r="L31" s="604">
        <f t="shared" si="17"/>
        <v>188946000</v>
      </c>
      <c r="M31" s="724">
        <f t="shared" si="10"/>
        <v>218064000</v>
      </c>
      <c r="N31" s="604"/>
      <c r="O31" s="604"/>
      <c r="P31" s="604"/>
      <c r="Q31" s="604"/>
      <c r="R31" s="604"/>
      <c r="S31" s="603"/>
      <c r="T31" s="603"/>
      <c r="U31" s="603"/>
      <c r="V31" s="603"/>
      <c r="W31" s="603"/>
      <c r="X31" s="603"/>
      <c r="Y31" s="603"/>
      <c r="Z31" s="603"/>
      <c r="AA31" s="603"/>
      <c r="AB31" s="603"/>
      <c r="AC31" s="603"/>
      <c r="AD31" s="603"/>
      <c r="AE31" s="603"/>
      <c r="AF31" s="603"/>
      <c r="AG31" s="603"/>
      <c r="AH31" s="603"/>
      <c r="AI31" s="603"/>
      <c r="AJ31" s="603"/>
      <c r="AK31" s="603"/>
      <c r="AL31" s="603"/>
      <c r="AM31" s="603"/>
      <c r="AN31" s="603"/>
      <c r="AO31" s="603"/>
      <c r="AP31" s="603"/>
      <c r="AQ31" s="603"/>
      <c r="AR31" s="603"/>
      <c r="AS31" s="603"/>
      <c r="AT31" s="603"/>
      <c r="AU31" s="603"/>
      <c r="AV31" s="603"/>
      <c r="AW31" s="603"/>
      <c r="AX31" s="603"/>
      <c r="AY31" s="603"/>
      <c r="AZ31" s="603"/>
      <c r="BA31" s="603"/>
      <c r="BB31" s="603"/>
      <c r="BC31" s="603"/>
      <c r="BD31" s="603"/>
      <c r="BE31" s="603"/>
      <c r="BF31" s="603"/>
      <c r="BG31" s="603"/>
      <c r="BH31" s="603"/>
      <c r="BI31" s="603"/>
      <c r="BJ31" s="603"/>
      <c r="BK31" s="603"/>
      <c r="BL31" s="603"/>
      <c r="BM31" s="603"/>
      <c r="BN31" s="603"/>
      <c r="BO31" s="603"/>
      <c r="BP31" s="603"/>
      <c r="BQ31" s="603"/>
      <c r="BR31" s="603"/>
      <c r="BS31" s="603"/>
      <c r="BT31" s="603"/>
      <c r="BU31" s="603"/>
      <c r="BV31" s="603"/>
      <c r="BW31" s="603"/>
      <c r="BX31" s="603"/>
      <c r="BY31" s="603"/>
      <c r="BZ31" s="603"/>
      <c r="CA31" s="603"/>
      <c r="CB31" s="603"/>
      <c r="CC31" s="603"/>
      <c r="CD31" s="603"/>
      <c r="CE31" s="603"/>
      <c r="CF31" s="603"/>
      <c r="CG31" s="603"/>
      <c r="CH31" s="603"/>
      <c r="CI31" s="603"/>
      <c r="CJ31" s="603"/>
      <c r="CK31" s="603"/>
      <c r="CL31" s="603"/>
      <c r="CM31" s="603"/>
      <c r="CN31" s="603"/>
      <c r="CO31" s="603"/>
      <c r="CP31" s="603"/>
      <c r="CQ31" s="603"/>
      <c r="CR31" s="603"/>
      <c r="CS31" s="603"/>
      <c r="CT31" s="603"/>
      <c r="CU31" s="603"/>
      <c r="CV31" s="603"/>
      <c r="CW31" s="603"/>
      <c r="CX31" s="603"/>
      <c r="CY31" s="603"/>
      <c r="CZ31" s="603"/>
      <c r="DA31" s="603"/>
      <c r="DB31" s="603"/>
      <c r="DC31" s="603"/>
      <c r="DD31" s="603"/>
      <c r="DE31" s="603"/>
      <c r="DF31" s="603"/>
      <c r="DG31" s="603"/>
      <c r="DH31" s="603"/>
      <c r="DI31" s="603"/>
      <c r="DJ31" s="603"/>
      <c r="DK31" s="603"/>
      <c r="DL31" s="603"/>
      <c r="DM31" s="603"/>
      <c r="DN31" s="603"/>
      <c r="DO31" s="603"/>
      <c r="DP31" s="603"/>
      <c r="DQ31" s="603"/>
      <c r="DR31" s="603"/>
      <c r="DS31" s="603"/>
      <c r="DT31" s="603"/>
      <c r="DU31" s="603"/>
      <c r="DV31" s="603"/>
      <c r="DW31" s="603"/>
      <c r="DX31" s="603"/>
      <c r="DY31" s="603"/>
      <c r="DZ31" s="603"/>
      <c r="EA31" s="603"/>
      <c r="EB31" s="603"/>
    </row>
    <row r="32" spans="1:132" s="605" customFormat="1" ht="20.100000000000001" customHeight="1">
      <c r="A32" s="635" t="s">
        <v>1625</v>
      </c>
      <c r="B32" s="627">
        <f>'예산세입(탄현)'!P29</f>
        <v>100000</v>
      </c>
      <c r="C32" s="636">
        <f t="shared" si="5"/>
        <v>1.1470686545825279E-5</v>
      </c>
      <c r="D32" s="627">
        <f>'예산세입(탄현)'!Q29</f>
        <v>100000</v>
      </c>
      <c r="E32" s="636">
        <f t="shared" si="1"/>
        <v>1.7166553853796923E-5</v>
      </c>
      <c r="F32" s="627">
        <f t="shared" si="14"/>
        <v>0</v>
      </c>
      <c r="G32" s="637">
        <f t="shared" si="16"/>
        <v>0</v>
      </c>
      <c r="H32" s="602"/>
      <c r="I32" s="629" t="s">
        <v>2608</v>
      </c>
      <c r="J32" s="604">
        <f>B75</f>
        <v>50000000</v>
      </c>
      <c r="K32" s="604">
        <f t="shared" ref="K32:L32" si="18">C75</f>
        <v>5.7353432729126391E-3</v>
      </c>
      <c r="L32" s="604">
        <f t="shared" si="18"/>
        <v>50000000</v>
      </c>
      <c r="M32" s="724">
        <f t="shared" si="10"/>
        <v>0</v>
      </c>
      <c r="N32" s="604"/>
      <c r="O32" s="604"/>
      <c r="P32" s="604"/>
      <c r="Q32" s="604"/>
      <c r="R32" s="604"/>
      <c r="S32" s="603"/>
      <c r="T32" s="603"/>
      <c r="U32" s="603"/>
      <c r="V32" s="603"/>
      <c r="W32" s="603"/>
      <c r="X32" s="603"/>
      <c r="Y32" s="603"/>
      <c r="Z32" s="603"/>
      <c r="AA32" s="603"/>
      <c r="AB32" s="603"/>
      <c r="AC32" s="603"/>
      <c r="AD32" s="603"/>
      <c r="AE32" s="603"/>
      <c r="AF32" s="603"/>
      <c r="AG32" s="603"/>
      <c r="AH32" s="603"/>
      <c r="AI32" s="603"/>
      <c r="AJ32" s="603"/>
      <c r="AK32" s="603"/>
      <c r="AL32" s="603"/>
      <c r="AM32" s="603"/>
      <c r="AN32" s="603"/>
      <c r="AO32" s="603"/>
      <c r="AP32" s="603"/>
      <c r="AQ32" s="603"/>
      <c r="AR32" s="603"/>
      <c r="AS32" s="603"/>
      <c r="AT32" s="603"/>
      <c r="AU32" s="603"/>
      <c r="AV32" s="603"/>
      <c r="AW32" s="603"/>
      <c r="AX32" s="603"/>
      <c r="AY32" s="603"/>
      <c r="AZ32" s="603"/>
      <c r="BA32" s="603"/>
      <c r="BB32" s="603"/>
      <c r="BC32" s="603"/>
      <c r="BD32" s="603"/>
      <c r="BE32" s="603"/>
      <c r="BF32" s="603"/>
      <c r="BG32" s="603"/>
      <c r="BH32" s="603"/>
      <c r="BI32" s="603"/>
      <c r="BJ32" s="603"/>
      <c r="BK32" s="603"/>
      <c r="BL32" s="603"/>
      <c r="BM32" s="603"/>
      <c r="BN32" s="603"/>
      <c r="BO32" s="603"/>
      <c r="BP32" s="603"/>
      <c r="BQ32" s="603"/>
      <c r="BR32" s="603"/>
      <c r="BS32" s="603"/>
      <c r="BT32" s="603"/>
      <c r="BU32" s="603"/>
      <c r="BV32" s="603"/>
      <c r="BW32" s="603"/>
      <c r="BX32" s="603"/>
      <c r="BY32" s="603"/>
      <c r="BZ32" s="603"/>
      <c r="CA32" s="603"/>
      <c r="CB32" s="603"/>
      <c r="CC32" s="603"/>
      <c r="CD32" s="603"/>
      <c r="CE32" s="603"/>
      <c r="CF32" s="603"/>
      <c r="CG32" s="603"/>
      <c r="CH32" s="603"/>
      <c r="CI32" s="603"/>
      <c r="CJ32" s="603"/>
      <c r="CK32" s="603"/>
      <c r="CL32" s="603"/>
      <c r="CM32" s="603"/>
      <c r="CN32" s="603"/>
      <c r="CO32" s="603"/>
      <c r="CP32" s="603"/>
      <c r="CQ32" s="603"/>
      <c r="CR32" s="603"/>
      <c r="CS32" s="603"/>
      <c r="CT32" s="603"/>
      <c r="CU32" s="603"/>
      <c r="CV32" s="603"/>
      <c r="CW32" s="603"/>
      <c r="CX32" s="603"/>
      <c r="CY32" s="603"/>
      <c r="CZ32" s="603"/>
      <c r="DA32" s="603"/>
      <c r="DB32" s="603"/>
      <c r="DC32" s="603"/>
      <c r="DD32" s="603"/>
      <c r="DE32" s="603"/>
      <c r="DF32" s="603"/>
      <c r="DG32" s="603"/>
      <c r="DH32" s="603"/>
      <c r="DI32" s="603"/>
      <c r="DJ32" s="603"/>
      <c r="DK32" s="603"/>
      <c r="DL32" s="603"/>
      <c r="DM32" s="603"/>
      <c r="DN32" s="603"/>
      <c r="DO32" s="603"/>
      <c r="DP32" s="603"/>
      <c r="DQ32" s="603"/>
      <c r="DR32" s="603"/>
      <c r="DS32" s="603"/>
      <c r="DT32" s="603"/>
      <c r="DU32" s="603"/>
      <c r="DV32" s="603"/>
      <c r="DW32" s="603"/>
      <c r="DX32" s="603"/>
      <c r="DY32" s="603"/>
      <c r="DZ32" s="603"/>
      <c r="EA32" s="603"/>
      <c r="EB32" s="603"/>
    </row>
    <row r="33" spans="1:132" s="605" customFormat="1" ht="20.100000000000001" customHeight="1">
      <c r="A33" s="635" t="s">
        <v>2432</v>
      </c>
      <c r="B33" s="627">
        <f>'예산세입(주교)'!P13</f>
        <v>10000</v>
      </c>
      <c r="C33" s="636">
        <f t="shared" si="5"/>
        <v>1.1470686545825279E-6</v>
      </c>
      <c r="D33" s="627">
        <f>'예산세입(주교)'!Q13</f>
        <v>10000</v>
      </c>
      <c r="E33" s="636">
        <f t="shared" si="1"/>
        <v>1.7166553853796923E-6</v>
      </c>
      <c r="F33" s="627">
        <f t="shared" si="14"/>
        <v>0</v>
      </c>
      <c r="G33" s="637">
        <f t="shared" si="16"/>
        <v>0</v>
      </c>
      <c r="H33" s="602"/>
      <c r="I33" s="629"/>
      <c r="J33" s="604"/>
      <c r="K33" s="603"/>
      <c r="L33" s="603"/>
      <c r="M33" s="603"/>
      <c r="N33" s="603"/>
      <c r="O33" s="603"/>
      <c r="P33" s="603"/>
      <c r="Q33" s="603"/>
      <c r="R33" s="603"/>
      <c r="S33" s="603"/>
      <c r="T33" s="603"/>
      <c r="U33" s="603"/>
      <c r="V33" s="603"/>
      <c r="W33" s="603"/>
      <c r="X33" s="603"/>
      <c r="Y33" s="603"/>
      <c r="Z33" s="603"/>
      <c r="AA33" s="603"/>
      <c r="AB33" s="603"/>
      <c r="AC33" s="603"/>
      <c r="AD33" s="603"/>
      <c r="AE33" s="603"/>
      <c r="AF33" s="603"/>
      <c r="AG33" s="603"/>
      <c r="AH33" s="603"/>
      <c r="AI33" s="603"/>
      <c r="AJ33" s="603"/>
      <c r="AK33" s="603"/>
      <c r="AL33" s="603"/>
      <c r="AM33" s="603"/>
      <c r="AN33" s="603"/>
      <c r="AO33" s="603"/>
      <c r="AP33" s="603"/>
      <c r="AQ33" s="603"/>
      <c r="AR33" s="603"/>
      <c r="AS33" s="603"/>
      <c r="AT33" s="603"/>
      <c r="AU33" s="603"/>
      <c r="AV33" s="603"/>
      <c r="AW33" s="603"/>
      <c r="AX33" s="603"/>
      <c r="AY33" s="603"/>
      <c r="AZ33" s="603"/>
      <c r="BA33" s="603"/>
      <c r="BB33" s="603"/>
      <c r="BC33" s="603"/>
      <c r="BD33" s="603"/>
      <c r="BE33" s="603"/>
      <c r="BF33" s="603"/>
      <c r="BG33" s="603"/>
      <c r="BH33" s="603"/>
      <c r="BI33" s="603"/>
      <c r="BJ33" s="603"/>
      <c r="BK33" s="603"/>
      <c r="BL33" s="603"/>
      <c r="BM33" s="603"/>
      <c r="BN33" s="603"/>
      <c r="BO33" s="603"/>
      <c r="BP33" s="603"/>
      <c r="BQ33" s="603"/>
      <c r="BR33" s="603"/>
      <c r="BS33" s="603"/>
      <c r="BT33" s="603"/>
      <c r="BU33" s="603"/>
      <c r="BV33" s="603"/>
      <c r="BW33" s="603"/>
      <c r="BX33" s="603"/>
      <c r="BY33" s="603"/>
      <c r="BZ33" s="603"/>
      <c r="CA33" s="603"/>
      <c r="CB33" s="603"/>
      <c r="CC33" s="603"/>
      <c r="CD33" s="603"/>
      <c r="CE33" s="603"/>
      <c r="CF33" s="603"/>
      <c r="CG33" s="603"/>
      <c r="CH33" s="603"/>
      <c r="CI33" s="603"/>
      <c r="CJ33" s="603"/>
      <c r="CK33" s="603"/>
      <c r="CL33" s="603"/>
      <c r="CM33" s="603"/>
      <c r="CN33" s="603"/>
      <c r="CO33" s="603"/>
      <c r="CP33" s="603"/>
      <c r="CQ33" s="603"/>
      <c r="CR33" s="603"/>
      <c r="CS33" s="603"/>
      <c r="CT33" s="603"/>
      <c r="CU33" s="603"/>
      <c r="CV33" s="603"/>
      <c r="CW33" s="603"/>
      <c r="CX33" s="603"/>
      <c r="CY33" s="603"/>
      <c r="CZ33" s="603"/>
      <c r="DA33" s="603"/>
      <c r="DB33" s="603"/>
      <c r="DC33" s="603"/>
      <c r="DD33" s="603"/>
      <c r="DE33" s="603"/>
      <c r="DF33" s="603"/>
      <c r="DG33" s="603"/>
      <c r="DH33" s="603"/>
      <c r="DI33" s="603"/>
      <c r="DJ33" s="603"/>
      <c r="DK33" s="603"/>
      <c r="DL33" s="603"/>
      <c r="DM33" s="603"/>
      <c r="DN33" s="603"/>
      <c r="DO33" s="603"/>
      <c r="DP33" s="603"/>
      <c r="DQ33" s="603"/>
      <c r="DR33" s="603"/>
      <c r="DS33" s="603"/>
      <c r="DT33" s="603"/>
      <c r="DU33" s="603"/>
      <c r="DV33" s="603"/>
      <c r="DW33" s="603"/>
      <c r="DX33" s="603"/>
      <c r="DY33" s="603"/>
      <c r="DZ33" s="603"/>
      <c r="EA33" s="603"/>
      <c r="EB33" s="603"/>
    </row>
    <row r="34" spans="1:132" s="605" customFormat="1" ht="20.100000000000001" customHeight="1">
      <c r="A34" s="635" t="s">
        <v>2127</v>
      </c>
      <c r="B34" s="627">
        <f>'예산세입(일산서구)'!P42</f>
        <v>233000</v>
      </c>
      <c r="C34" s="636">
        <f t="shared" si="5"/>
        <v>2.6726699651772896E-5</v>
      </c>
      <c r="D34" s="627">
        <f>'예산세입(일산서구)'!Q42</f>
        <v>0</v>
      </c>
      <c r="E34" s="636">
        <f t="shared" si="1"/>
        <v>0</v>
      </c>
      <c r="F34" s="627">
        <f t="shared" si="14"/>
        <v>233000</v>
      </c>
      <c r="G34" s="637">
        <v>1</v>
      </c>
      <c r="H34" s="602"/>
      <c r="I34" s="629"/>
      <c r="J34" s="603"/>
      <c r="K34" s="603"/>
      <c r="L34" s="603"/>
      <c r="M34" s="603"/>
      <c r="N34" s="603"/>
      <c r="O34" s="603"/>
      <c r="P34" s="603"/>
      <c r="Q34" s="603"/>
      <c r="R34" s="603"/>
      <c r="S34" s="603"/>
      <c r="T34" s="603"/>
      <c r="U34" s="603"/>
      <c r="V34" s="603"/>
      <c r="W34" s="603"/>
      <c r="X34" s="603"/>
      <c r="Y34" s="603"/>
      <c r="Z34" s="603"/>
      <c r="AA34" s="603"/>
      <c r="AB34" s="603"/>
      <c r="AC34" s="603"/>
      <c r="AD34" s="603"/>
      <c r="AE34" s="603"/>
      <c r="AF34" s="603"/>
      <c r="AG34" s="603"/>
      <c r="AH34" s="603"/>
      <c r="AI34" s="603"/>
      <c r="AJ34" s="603"/>
      <c r="AK34" s="603"/>
      <c r="AL34" s="603"/>
      <c r="AM34" s="603"/>
      <c r="AN34" s="603"/>
      <c r="AO34" s="603"/>
      <c r="AP34" s="603"/>
      <c r="AQ34" s="603"/>
      <c r="AR34" s="603"/>
      <c r="AS34" s="603"/>
      <c r="AT34" s="603"/>
      <c r="AU34" s="603"/>
      <c r="AV34" s="603"/>
      <c r="AW34" s="603"/>
      <c r="AX34" s="603"/>
      <c r="AY34" s="603"/>
      <c r="AZ34" s="603"/>
      <c r="BA34" s="603"/>
      <c r="BB34" s="603"/>
      <c r="BC34" s="603"/>
      <c r="BD34" s="603"/>
      <c r="BE34" s="603"/>
      <c r="BF34" s="603"/>
      <c r="BG34" s="603"/>
      <c r="BH34" s="603"/>
      <c r="BI34" s="603"/>
      <c r="BJ34" s="603"/>
      <c r="BK34" s="603"/>
      <c r="BL34" s="603"/>
      <c r="BM34" s="603"/>
      <c r="BN34" s="603"/>
      <c r="BO34" s="603"/>
      <c r="BP34" s="603"/>
      <c r="BQ34" s="603"/>
      <c r="BR34" s="603"/>
      <c r="BS34" s="603"/>
      <c r="BT34" s="603"/>
      <c r="BU34" s="603"/>
      <c r="BV34" s="603"/>
      <c r="BW34" s="603"/>
      <c r="BX34" s="603"/>
      <c r="BY34" s="603"/>
      <c r="BZ34" s="603"/>
      <c r="CA34" s="603"/>
      <c r="CB34" s="603"/>
      <c r="CC34" s="603"/>
      <c r="CD34" s="603"/>
      <c r="CE34" s="603"/>
      <c r="CF34" s="603"/>
      <c r="CG34" s="603"/>
      <c r="CH34" s="603"/>
      <c r="CI34" s="603"/>
      <c r="CJ34" s="603"/>
      <c r="CK34" s="603"/>
      <c r="CL34" s="603"/>
      <c r="CM34" s="603"/>
      <c r="CN34" s="603"/>
      <c r="CO34" s="603"/>
      <c r="CP34" s="603"/>
      <c r="CQ34" s="603"/>
      <c r="CR34" s="603"/>
      <c r="CS34" s="603"/>
      <c r="CT34" s="603"/>
      <c r="CU34" s="603"/>
      <c r="CV34" s="603"/>
      <c r="CW34" s="603"/>
      <c r="CX34" s="603"/>
      <c r="CY34" s="603"/>
      <c r="CZ34" s="603"/>
      <c r="DA34" s="603"/>
      <c r="DB34" s="603"/>
      <c r="DC34" s="603"/>
      <c r="DD34" s="603"/>
      <c r="DE34" s="603"/>
      <c r="DF34" s="603"/>
      <c r="DG34" s="603"/>
      <c r="DH34" s="603"/>
      <c r="DI34" s="603"/>
      <c r="DJ34" s="603"/>
      <c r="DK34" s="603"/>
      <c r="DL34" s="603"/>
      <c r="DM34" s="603"/>
      <c r="DN34" s="603"/>
      <c r="DO34" s="603"/>
      <c r="DP34" s="603"/>
      <c r="DQ34" s="603"/>
      <c r="DR34" s="603"/>
      <c r="DS34" s="603"/>
      <c r="DT34" s="603"/>
      <c r="DU34" s="603"/>
      <c r="DV34" s="603"/>
      <c r="DW34" s="603"/>
      <c r="DX34" s="603"/>
      <c r="DY34" s="603"/>
      <c r="DZ34" s="603"/>
      <c r="EA34" s="603"/>
      <c r="EB34" s="603"/>
    </row>
    <row r="35" spans="1:132" s="605" customFormat="1" ht="20.100000000000001" customHeight="1">
      <c r="A35" s="635" t="s">
        <v>1626</v>
      </c>
      <c r="B35" s="627">
        <f>'예산세입(토당)'!P134</f>
        <v>500000</v>
      </c>
      <c r="C35" s="636">
        <f t="shared" si="5"/>
        <v>5.7353432729126388E-5</v>
      </c>
      <c r="D35" s="627">
        <f>'예산세입(토당)'!Q134</f>
        <v>4393000</v>
      </c>
      <c r="E35" s="636">
        <f t="shared" si="1"/>
        <v>7.5412671079729888E-4</v>
      </c>
      <c r="F35" s="627">
        <f t="shared" si="14"/>
        <v>-3893000</v>
      </c>
      <c r="G35" s="637">
        <f t="shared" si="16"/>
        <v>-0.8861825631686775</v>
      </c>
      <c r="H35" s="602"/>
      <c r="I35" s="629"/>
      <c r="J35" s="604"/>
      <c r="K35" s="603"/>
      <c r="L35" s="603"/>
      <c r="M35" s="603"/>
      <c r="N35" s="603"/>
      <c r="O35" s="603"/>
      <c r="P35" s="603"/>
      <c r="Q35" s="603"/>
      <c r="R35" s="603"/>
      <c r="S35" s="603"/>
      <c r="T35" s="603"/>
      <c r="U35" s="603"/>
      <c r="V35" s="603"/>
      <c r="W35" s="603"/>
      <c r="X35" s="603"/>
      <c r="Y35" s="603"/>
      <c r="Z35" s="603"/>
      <c r="AA35" s="603"/>
      <c r="AB35" s="603"/>
      <c r="AC35" s="603"/>
      <c r="AD35" s="603"/>
      <c r="AE35" s="603"/>
      <c r="AF35" s="603"/>
      <c r="AG35" s="603"/>
      <c r="AH35" s="603"/>
      <c r="AI35" s="603"/>
      <c r="AJ35" s="603"/>
      <c r="AK35" s="603"/>
      <c r="AL35" s="603"/>
      <c r="AM35" s="603"/>
      <c r="AN35" s="603"/>
      <c r="AO35" s="603"/>
      <c r="AP35" s="603"/>
      <c r="AQ35" s="603"/>
      <c r="AR35" s="603"/>
      <c r="AS35" s="603"/>
      <c r="AT35" s="603"/>
      <c r="AU35" s="603"/>
      <c r="AV35" s="603"/>
      <c r="AW35" s="603"/>
      <c r="AX35" s="603"/>
      <c r="AY35" s="603"/>
      <c r="AZ35" s="603"/>
      <c r="BA35" s="603"/>
      <c r="BB35" s="603"/>
      <c r="BC35" s="603"/>
      <c r="BD35" s="603"/>
      <c r="BE35" s="603"/>
      <c r="BF35" s="603"/>
      <c r="BG35" s="603"/>
      <c r="BH35" s="603"/>
      <c r="BI35" s="603"/>
      <c r="BJ35" s="603"/>
      <c r="BK35" s="603"/>
      <c r="BL35" s="603"/>
      <c r="BM35" s="603"/>
      <c r="BN35" s="603"/>
      <c r="BO35" s="603"/>
      <c r="BP35" s="603"/>
      <c r="BQ35" s="603"/>
      <c r="BR35" s="603"/>
      <c r="BS35" s="603"/>
      <c r="BT35" s="603"/>
      <c r="BU35" s="603"/>
      <c r="BV35" s="603"/>
      <c r="BW35" s="603"/>
      <c r="BX35" s="603"/>
      <c r="BY35" s="603"/>
      <c r="BZ35" s="603"/>
      <c r="CA35" s="603"/>
      <c r="CB35" s="603"/>
      <c r="CC35" s="603"/>
      <c r="CD35" s="603"/>
      <c r="CE35" s="603"/>
      <c r="CF35" s="603"/>
      <c r="CG35" s="603"/>
      <c r="CH35" s="603"/>
      <c r="CI35" s="603"/>
      <c r="CJ35" s="603"/>
      <c r="CK35" s="603"/>
      <c r="CL35" s="603"/>
      <c r="CM35" s="603"/>
      <c r="CN35" s="603"/>
      <c r="CO35" s="603"/>
      <c r="CP35" s="603"/>
      <c r="CQ35" s="603"/>
      <c r="CR35" s="603"/>
      <c r="CS35" s="603"/>
      <c r="CT35" s="603"/>
      <c r="CU35" s="603"/>
      <c r="CV35" s="603"/>
      <c r="CW35" s="603"/>
      <c r="CX35" s="603"/>
      <c r="CY35" s="603"/>
      <c r="CZ35" s="603"/>
      <c r="DA35" s="603"/>
      <c r="DB35" s="603"/>
      <c r="DC35" s="603"/>
      <c r="DD35" s="603"/>
      <c r="DE35" s="603"/>
      <c r="DF35" s="603"/>
      <c r="DG35" s="603"/>
      <c r="DH35" s="603"/>
      <c r="DI35" s="603"/>
      <c r="DJ35" s="603"/>
      <c r="DK35" s="603"/>
      <c r="DL35" s="603"/>
      <c r="DM35" s="603"/>
      <c r="DN35" s="603"/>
      <c r="DO35" s="603"/>
      <c r="DP35" s="603"/>
      <c r="DQ35" s="603"/>
      <c r="DR35" s="603"/>
      <c r="DS35" s="603"/>
      <c r="DT35" s="603"/>
      <c r="DU35" s="603"/>
      <c r="DV35" s="603"/>
      <c r="DW35" s="603"/>
      <c r="DX35" s="603"/>
      <c r="DY35" s="603"/>
      <c r="DZ35" s="603"/>
      <c r="EA35" s="603"/>
      <c r="EB35" s="603"/>
    </row>
    <row r="36" spans="1:132" s="605" customFormat="1" ht="20.100000000000001" customHeight="1">
      <c r="A36" s="635" t="s">
        <v>1627</v>
      </c>
      <c r="B36" s="627">
        <f>'예산세입(상담)'!P16</f>
        <v>24000</v>
      </c>
      <c r="C36" s="636">
        <f t="shared" si="5"/>
        <v>2.7529647709980666E-6</v>
      </c>
      <c r="D36" s="627">
        <f>'예산세입(상담)'!Q16</f>
        <v>0</v>
      </c>
      <c r="E36" s="636">
        <f t="shared" si="1"/>
        <v>0</v>
      </c>
      <c r="F36" s="627">
        <f t="shared" si="14"/>
        <v>24000</v>
      </c>
      <c r="G36" s="637">
        <v>1</v>
      </c>
      <c r="H36" s="602"/>
      <c r="I36" s="629"/>
      <c r="J36" s="629"/>
      <c r="K36" s="603"/>
      <c r="L36" s="603"/>
      <c r="M36" s="603"/>
      <c r="N36" s="603"/>
      <c r="O36" s="603"/>
      <c r="P36" s="603"/>
      <c r="Q36" s="603"/>
      <c r="R36" s="603"/>
      <c r="S36" s="603"/>
      <c r="T36" s="603"/>
      <c r="U36" s="603"/>
      <c r="V36" s="603"/>
      <c r="W36" s="603"/>
      <c r="X36" s="603"/>
      <c r="Y36" s="603"/>
      <c r="Z36" s="603"/>
      <c r="AA36" s="603"/>
      <c r="AB36" s="603"/>
      <c r="AC36" s="603"/>
      <c r="AD36" s="603"/>
      <c r="AE36" s="603"/>
      <c r="AF36" s="603"/>
      <c r="AG36" s="603"/>
      <c r="AH36" s="603"/>
      <c r="AI36" s="603"/>
      <c r="AJ36" s="603"/>
      <c r="AK36" s="603"/>
      <c r="AL36" s="603"/>
      <c r="AM36" s="603"/>
      <c r="AN36" s="603"/>
      <c r="AO36" s="603"/>
      <c r="AP36" s="603"/>
      <c r="AQ36" s="603"/>
      <c r="AR36" s="603"/>
      <c r="AS36" s="603"/>
      <c r="AT36" s="603"/>
      <c r="AU36" s="603"/>
      <c r="AV36" s="603"/>
      <c r="AW36" s="603"/>
      <c r="AX36" s="603"/>
      <c r="AY36" s="603"/>
      <c r="AZ36" s="603"/>
      <c r="BA36" s="603"/>
      <c r="BB36" s="603"/>
      <c r="BC36" s="603"/>
      <c r="BD36" s="603"/>
      <c r="BE36" s="603"/>
      <c r="BF36" s="603"/>
      <c r="BG36" s="603"/>
      <c r="BH36" s="603"/>
      <c r="BI36" s="603"/>
      <c r="BJ36" s="603"/>
      <c r="BK36" s="603"/>
      <c r="BL36" s="603"/>
      <c r="BM36" s="603"/>
      <c r="BN36" s="603"/>
      <c r="BO36" s="603"/>
      <c r="BP36" s="603"/>
      <c r="BQ36" s="603"/>
      <c r="BR36" s="603"/>
      <c r="BS36" s="603"/>
      <c r="BT36" s="603"/>
      <c r="BU36" s="603"/>
      <c r="BV36" s="603"/>
      <c r="BW36" s="603"/>
      <c r="BX36" s="603"/>
      <c r="BY36" s="603"/>
      <c r="BZ36" s="603"/>
      <c r="CA36" s="603"/>
      <c r="CB36" s="603"/>
      <c r="CC36" s="603"/>
      <c r="CD36" s="603"/>
      <c r="CE36" s="603"/>
      <c r="CF36" s="603"/>
      <c r="CG36" s="603"/>
      <c r="CH36" s="603"/>
      <c r="CI36" s="603"/>
      <c r="CJ36" s="603"/>
      <c r="CK36" s="603"/>
      <c r="CL36" s="603"/>
      <c r="CM36" s="603"/>
      <c r="CN36" s="603"/>
      <c r="CO36" s="603"/>
      <c r="CP36" s="603"/>
      <c r="CQ36" s="603"/>
      <c r="CR36" s="603"/>
      <c r="CS36" s="603"/>
      <c r="CT36" s="603"/>
      <c r="CU36" s="603"/>
      <c r="CV36" s="603"/>
      <c r="CW36" s="603"/>
      <c r="CX36" s="603"/>
      <c r="CY36" s="603"/>
      <c r="CZ36" s="603"/>
      <c r="DA36" s="603"/>
      <c r="DB36" s="603"/>
      <c r="DC36" s="603"/>
      <c r="DD36" s="603"/>
      <c r="DE36" s="603"/>
      <c r="DF36" s="603"/>
      <c r="DG36" s="603"/>
      <c r="DH36" s="603"/>
      <c r="DI36" s="603"/>
      <c r="DJ36" s="603"/>
      <c r="DK36" s="603"/>
      <c r="DL36" s="603"/>
      <c r="DM36" s="603"/>
      <c r="DN36" s="603"/>
      <c r="DO36" s="603"/>
      <c r="DP36" s="603"/>
      <c r="DQ36" s="603"/>
      <c r="DR36" s="603"/>
      <c r="DS36" s="603"/>
      <c r="DT36" s="603"/>
      <c r="DU36" s="603"/>
      <c r="DV36" s="603"/>
      <c r="DW36" s="603"/>
      <c r="DX36" s="603"/>
      <c r="DY36" s="603"/>
      <c r="DZ36" s="603"/>
      <c r="EA36" s="603"/>
      <c r="EB36" s="603"/>
    </row>
    <row r="37" spans="1:132" s="605" customFormat="1" ht="20.100000000000001" customHeight="1">
      <c r="A37" s="635" t="s">
        <v>1628</v>
      </c>
      <c r="B37" s="627">
        <f>'예산세입(화정)'!P25</f>
        <v>13000</v>
      </c>
      <c r="C37" s="636">
        <f t="shared" si="5"/>
        <v>1.4911892509572861E-6</v>
      </c>
      <c r="D37" s="627">
        <f>'예산세입(화정)'!Q25</f>
        <v>0</v>
      </c>
      <c r="E37" s="636">
        <f t="shared" si="1"/>
        <v>0</v>
      </c>
      <c r="F37" s="627">
        <f t="shared" si="14"/>
        <v>13000</v>
      </c>
      <c r="G37" s="637">
        <v>1</v>
      </c>
      <c r="H37" s="602"/>
      <c r="I37" s="629"/>
      <c r="J37" s="629"/>
      <c r="K37" s="603"/>
      <c r="L37" s="603"/>
      <c r="M37" s="603"/>
      <c r="N37" s="603"/>
      <c r="O37" s="603"/>
      <c r="P37" s="603"/>
      <c r="Q37" s="603"/>
      <c r="R37" s="603"/>
      <c r="S37" s="603"/>
      <c r="T37" s="603"/>
      <c r="U37" s="603"/>
      <c r="V37" s="603"/>
      <c r="W37" s="603"/>
      <c r="X37" s="603"/>
      <c r="Y37" s="603"/>
      <c r="Z37" s="603"/>
      <c r="AA37" s="603"/>
      <c r="AB37" s="603"/>
      <c r="AC37" s="603"/>
      <c r="AD37" s="603"/>
      <c r="AE37" s="603"/>
      <c r="AF37" s="603"/>
      <c r="AG37" s="603"/>
      <c r="AH37" s="603"/>
      <c r="AI37" s="603"/>
      <c r="AJ37" s="603"/>
      <c r="AK37" s="603"/>
      <c r="AL37" s="603"/>
      <c r="AM37" s="603"/>
      <c r="AN37" s="603"/>
      <c r="AO37" s="603"/>
      <c r="AP37" s="603"/>
      <c r="AQ37" s="603"/>
      <c r="AR37" s="603"/>
      <c r="AS37" s="603"/>
      <c r="AT37" s="603"/>
      <c r="AU37" s="603"/>
      <c r="AV37" s="603"/>
      <c r="AW37" s="603"/>
      <c r="AX37" s="603"/>
      <c r="AY37" s="603"/>
      <c r="AZ37" s="603"/>
      <c r="BA37" s="603"/>
      <c r="BB37" s="603"/>
      <c r="BC37" s="603"/>
      <c r="BD37" s="603"/>
      <c r="BE37" s="603"/>
      <c r="BF37" s="603"/>
      <c r="BG37" s="603"/>
      <c r="BH37" s="603"/>
      <c r="BI37" s="603"/>
      <c r="BJ37" s="603"/>
      <c r="BK37" s="603"/>
      <c r="BL37" s="603"/>
      <c r="BM37" s="603"/>
      <c r="BN37" s="603"/>
      <c r="BO37" s="603"/>
      <c r="BP37" s="603"/>
      <c r="BQ37" s="603"/>
      <c r="BR37" s="603"/>
      <c r="BS37" s="603"/>
      <c r="BT37" s="603"/>
      <c r="BU37" s="603"/>
      <c r="BV37" s="603"/>
      <c r="BW37" s="603"/>
      <c r="BX37" s="603"/>
      <c r="BY37" s="603"/>
      <c r="BZ37" s="603"/>
      <c r="CA37" s="603"/>
      <c r="CB37" s="603"/>
      <c r="CC37" s="603"/>
      <c r="CD37" s="603"/>
      <c r="CE37" s="603"/>
      <c r="CF37" s="603"/>
      <c r="CG37" s="603"/>
      <c r="CH37" s="603"/>
      <c r="CI37" s="603"/>
      <c r="CJ37" s="603"/>
      <c r="CK37" s="603"/>
      <c r="CL37" s="603"/>
      <c r="CM37" s="603"/>
      <c r="CN37" s="603"/>
      <c r="CO37" s="603"/>
      <c r="CP37" s="603"/>
      <c r="CQ37" s="603"/>
      <c r="CR37" s="603"/>
      <c r="CS37" s="603"/>
      <c r="CT37" s="603"/>
      <c r="CU37" s="603"/>
      <c r="CV37" s="603"/>
      <c r="CW37" s="603"/>
      <c r="CX37" s="603"/>
      <c r="CY37" s="603"/>
      <c r="CZ37" s="603"/>
      <c r="DA37" s="603"/>
      <c r="DB37" s="603"/>
      <c r="DC37" s="603"/>
      <c r="DD37" s="603"/>
      <c r="DE37" s="603"/>
      <c r="DF37" s="603"/>
      <c r="DG37" s="603"/>
      <c r="DH37" s="603"/>
      <c r="DI37" s="603"/>
      <c r="DJ37" s="603"/>
      <c r="DK37" s="603"/>
      <c r="DL37" s="603"/>
      <c r="DM37" s="603"/>
      <c r="DN37" s="603"/>
      <c r="DO37" s="603"/>
      <c r="DP37" s="603"/>
      <c r="DQ37" s="603"/>
      <c r="DR37" s="603"/>
      <c r="DS37" s="603"/>
      <c r="DT37" s="603"/>
      <c r="DU37" s="603"/>
      <c r="DV37" s="603"/>
      <c r="DW37" s="603"/>
      <c r="DX37" s="603"/>
      <c r="DY37" s="603"/>
      <c r="DZ37" s="603"/>
      <c r="EA37" s="603"/>
      <c r="EB37" s="603"/>
    </row>
    <row r="38" spans="1:132" s="605" customFormat="1" ht="20.100000000000001" customHeight="1">
      <c r="A38" s="635" t="s">
        <v>2515</v>
      </c>
      <c r="B38" s="627">
        <f>'예산세입(백마)'!P14</f>
        <v>14000</v>
      </c>
      <c r="C38" s="636">
        <f t="shared" si="5"/>
        <v>1.605896116415539E-6</v>
      </c>
      <c r="D38" s="627">
        <f>'예산세입(백마)'!Q14</f>
        <v>0</v>
      </c>
      <c r="E38" s="636">
        <f t="shared" si="1"/>
        <v>0</v>
      </c>
      <c r="F38" s="627">
        <f t="shared" si="14"/>
        <v>14000</v>
      </c>
      <c r="G38" s="637">
        <v>1</v>
      </c>
      <c r="H38" s="602"/>
      <c r="I38" s="629"/>
      <c r="J38" s="629"/>
      <c r="K38" s="603"/>
      <c r="L38" s="603"/>
      <c r="M38" s="603"/>
      <c r="N38" s="603"/>
      <c r="O38" s="603"/>
      <c r="P38" s="603"/>
      <c r="Q38" s="603"/>
      <c r="R38" s="603"/>
      <c r="S38" s="603"/>
      <c r="T38" s="603"/>
      <c r="U38" s="603"/>
      <c r="V38" s="603"/>
      <c r="W38" s="603"/>
      <c r="X38" s="603"/>
      <c r="Y38" s="603"/>
      <c r="Z38" s="603"/>
      <c r="AA38" s="603"/>
      <c r="AB38" s="603"/>
      <c r="AC38" s="603"/>
      <c r="AD38" s="603"/>
      <c r="AE38" s="603"/>
      <c r="AF38" s="603"/>
      <c r="AG38" s="603"/>
      <c r="AH38" s="603"/>
      <c r="AI38" s="603"/>
      <c r="AJ38" s="603"/>
      <c r="AK38" s="603"/>
      <c r="AL38" s="603"/>
      <c r="AM38" s="603"/>
      <c r="AN38" s="603"/>
      <c r="AO38" s="603"/>
      <c r="AP38" s="603"/>
      <c r="AQ38" s="603"/>
      <c r="AR38" s="603"/>
      <c r="AS38" s="603"/>
      <c r="AT38" s="603"/>
      <c r="AU38" s="603"/>
      <c r="AV38" s="603"/>
      <c r="AW38" s="603"/>
      <c r="AX38" s="603"/>
      <c r="AY38" s="603"/>
      <c r="AZ38" s="603"/>
      <c r="BA38" s="603"/>
      <c r="BB38" s="603"/>
      <c r="BC38" s="603"/>
      <c r="BD38" s="603"/>
      <c r="BE38" s="603"/>
      <c r="BF38" s="603"/>
      <c r="BG38" s="603"/>
      <c r="BH38" s="603"/>
      <c r="BI38" s="603"/>
      <c r="BJ38" s="603"/>
      <c r="BK38" s="603"/>
      <c r="BL38" s="603"/>
      <c r="BM38" s="603"/>
      <c r="BN38" s="603"/>
      <c r="BO38" s="603"/>
      <c r="BP38" s="603"/>
      <c r="BQ38" s="603"/>
      <c r="BR38" s="603"/>
      <c r="BS38" s="603"/>
      <c r="BT38" s="603"/>
      <c r="BU38" s="603"/>
      <c r="BV38" s="603"/>
      <c r="BW38" s="603"/>
      <c r="BX38" s="603"/>
      <c r="BY38" s="603"/>
      <c r="BZ38" s="603"/>
      <c r="CA38" s="603"/>
      <c r="CB38" s="603"/>
      <c r="CC38" s="603"/>
      <c r="CD38" s="603"/>
      <c r="CE38" s="603"/>
      <c r="CF38" s="603"/>
      <c r="CG38" s="603"/>
      <c r="CH38" s="603"/>
      <c r="CI38" s="603"/>
      <c r="CJ38" s="603"/>
      <c r="CK38" s="603"/>
      <c r="CL38" s="603"/>
      <c r="CM38" s="603"/>
      <c r="CN38" s="603"/>
      <c r="CO38" s="603"/>
      <c r="CP38" s="603"/>
      <c r="CQ38" s="603"/>
      <c r="CR38" s="603"/>
      <c r="CS38" s="603"/>
      <c r="CT38" s="603"/>
      <c r="CU38" s="603"/>
      <c r="CV38" s="603"/>
      <c r="CW38" s="603"/>
      <c r="CX38" s="603"/>
      <c r="CY38" s="603"/>
      <c r="CZ38" s="603"/>
      <c r="DA38" s="603"/>
      <c r="DB38" s="603"/>
      <c r="DC38" s="603"/>
      <c r="DD38" s="603"/>
      <c r="DE38" s="603"/>
      <c r="DF38" s="603"/>
      <c r="DG38" s="603"/>
      <c r="DH38" s="603"/>
      <c r="DI38" s="603"/>
      <c r="DJ38" s="603"/>
      <c r="DK38" s="603"/>
      <c r="DL38" s="603"/>
      <c r="DM38" s="603"/>
      <c r="DN38" s="603"/>
      <c r="DO38" s="603"/>
      <c r="DP38" s="603"/>
      <c r="DQ38" s="603"/>
      <c r="DR38" s="603"/>
      <c r="DS38" s="603"/>
      <c r="DT38" s="603"/>
      <c r="DU38" s="603"/>
      <c r="DV38" s="603"/>
      <c r="DW38" s="603"/>
      <c r="DX38" s="603"/>
      <c r="DY38" s="603"/>
      <c r="DZ38" s="603"/>
      <c r="EA38" s="603"/>
      <c r="EB38" s="603"/>
    </row>
    <row r="39" spans="1:132" s="605" customFormat="1" ht="20.100000000000001" customHeight="1">
      <c r="A39" s="662" t="s">
        <v>2516</v>
      </c>
      <c r="B39" s="734">
        <f>'예산세입(능곡)'!P14</f>
        <v>6000</v>
      </c>
      <c r="C39" s="664">
        <f t="shared" si="5"/>
        <v>6.8824119274951665E-7</v>
      </c>
      <c r="D39" s="734">
        <f>'예산세입(능곡)'!Q14</f>
        <v>0</v>
      </c>
      <c r="E39" s="664">
        <f t="shared" si="1"/>
        <v>0</v>
      </c>
      <c r="F39" s="734">
        <f t="shared" si="14"/>
        <v>6000</v>
      </c>
      <c r="G39" s="735">
        <v>1</v>
      </c>
      <c r="H39" s="602"/>
      <c r="I39" s="629"/>
      <c r="J39" s="629"/>
      <c r="K39" s="603"/>
      <c r="L39" s="603"/>
      <c r="M39" s="603"/>
      <c r="N39" s="603"/>
      <c r="O39" s="603"/>
      <c r="P39" s="603"/>
      <c r="Q39" s="603"/>
      <c r="R39" s="603"/>
      <c r="S39" s="603"/>
      <c r="T39" s="603"/>
      <c r="U39" s="603"/>
      <c r="V39" s="603"/>
      <c r="W39" s="603"/>
      <c r="X39" s="603"/>
      <c r="Y39" s="603"/>
      <c r="Z39" s="603"/>
      <c r="AA39" s="603"/>
      <c r="AB39" s="603"/>
      <c r="AC39" s="603"/>
      <c r="AD39" s="603"/>
      <c r="AE39" s="603"/>
      <c r="AF39" s="603"/>
      <c r="AG39" s="603"/>
      <c r="AH39" s="603"/>
      <c r="AI39" s="603"/>
      <c r="AJ39" s="603"/>
      <c r="AK39" s="603"/>
      <c r="AL39" s="603"/>
      <c r="AM39" s="603"/>
      <c r="AN39" s="603"/>
      <c r="AO39" s="603"/>
      <c r="AP39" s="603"/>
      <c r="AQ39" s="603"/>
      <c r="AR39" s="603"/>
      <c r="AS39" s="603"/>
      <c r="AT39" s="603"/>
      <c r="AU39" s="603"/>
      <c r="AV39" s="603"/>
      <c r="AW39" s="603"/>
      <c r="AX39" s="603"/>
      <c r="AY39" s="603"/>
      <c r="AZ39" s="603"/>
      <c r="BA39" s="603"/>
      <c r="BB39" s="603"/>
      <c r="BC39" s="603"/>
      <c r="BD39" s="603"/>
      <c r="BE39" s="603"/>
      <c r="BF39" s="603"/>
      <c r="BG39" s="603"/>
      <c r="BH39" s="603"/>
      <c r="BI39" s="603"/>
      <c r="BJ39" s="603"/>
      <c r="BK39" s="603"/>
      <c r="BL39" s="603"/>
      <c r="BM39" s="603"/>
      <c r="BN39" s="603"/>
      <c r="BO39" s="603"/>
      <c r="BP39" s="603"/>
      <c r="BQ39" s="603"/>
      <c r="BR39" s="603"/>
      <c r="BS39" s="603"/>
      <c r="BT39" s="603"/>
      <c r="BU39" s="603"/>
      <c r="BV39" s="603"/>
      <c r="BW39" s="603"/>
      <c r="BX39" s="603"/>
      <c r="BY39" s="603"/>
      <c r="BZ39" s="603"/>
      <c r="CA39" s="603"/>
      <c r="CB39" s="603"/>
      <c r="CC39" s="603"/>
      <c r="CD39" s="603"/>
      <c r="CE39" s="603"/>
      <c r="CF39" s="603"/>
      <c r="CG39" s="603"/>
      <c r="CH39" s="603"/>
      <c r="CI39" s="603"/>
      <c r="CJ39" s="603"/>
      <c r="CK39" s="603"/>
      <c r="CL39" s="603"/>
      <c r="CM39" s="603"/>
      <c r="CN39" s="603"/>
      <c r="CO39" s="603"/>
      <c r="CP39" s="603"/>
      <c r="CQ39" s="603"/>
      <c r="CR39" s="603"/>
      <c r="CS39" s="603"/>
      <c r="CT39" s="603"/>
      <c r="CU39" s="603"/>
      <c r="CV39" s="603"/>
      <c r="CW39" s="603"/>
      <c r="CX39" s="603"/>
      <c r="CY39" s="603"/>
      <c r="CZ39" s="603"/>
      <c r="DA39" s="603"/>
      <c r="DB39" s="603"/>
      <c r="DC39" s="603"/>
      <c r="DD39" s="603"/>
      <c r="DE39" s="603"/>
      <c r="DF39" s="603"/>
      <c r="DG39" s="603"/>
      <c r="DH39" s="603"/>
      <c r="DI39" s="603"/>
      <c r="DJ39" s="603"/>
      <c r="DK39" s="603"/>
      <c r="DL39" s="603"/>
      <c r="DM39" s="603"/>
      <c r="DN39" s="603"/>
      <c r="DO39" s="603"/>
      <c r="DP39" s="603"/>
      <c r="DQ39" s="603"/>
      <c r="DR39" s="603"/>
      <c r="DS39" s="603"/>
      <c r="DT39" s="603"/>
      <c r="DU39" s="603"/>
      <c r="DV39" s="603"/>
      <c r="DW39" s="603"/>
      <c r="DX39" s="603"/>
      <c r="DY39" s="603"/>
      <c r="DZ39" s="603"/>
      <c r="EA39" s="603"/>
      <c r="EB39" s="603"/>
    </row>
    <row r="40" spans="1:132" s="605" customFormat="1" ht="20.100000000000001" customHeight="1">
      <c r="A40" s="646" t="s">
        <v>2180</v>
      </c>
      <c r="B40" s="647">
        <f>SUM(B41)</f>
        <v>2408000</v>
      </c>
      <c r="C40" s="648">
        <f t="shared" ref="C40" si="19">+B40/$B$7</f>
        <v>2.7621413202347272E-4</v>
      </c>
      <c r="D40" s="647">
        <f>SUM(D41)</f>
        <v>2100000</v>
      </c>
      <c r="E40" s="730">
        <f t="shared" ref="E40" si="20">+D40/$D$7</f>
        <v>3.6049763092973542E-4</v>
      </c>
      <c r="F40" s="647">
        <f>SUM(F41)</f>
        <v>308000</v>
      </c>
      <c r="G40" s="649">
        <f>+F40/D40</f>
        <v>0.14666666666666667</v>
      </c>
      <c r="H40" s="650"/>
      <c r="I40" s="629"/>
      <c r="J40" s="629"/>
      <c r="K40" s="603"/>
      <c r="L40" s="603"/>
      <c r="M40" s="603"/>
      <c r="N40" s="603"/>
      <c r="O40" s="603"/>
      <c r="P40" s="603"/>
      <c r="Q40" s="603"/>
      <c r="R40" s="603"/>
      <c r="S40" s="603"/>
      <c r="T40" s="603"/>
      <c r="U40" s="603"/>
      <c r="V40" s="603"/>
      <c r="W40" s="603"/>
      <c r="X40" s="603"/>
      <c r="Y40" s="603"/>
      <c r="Z40" s="603"/>
      <c r="AA40" s="603"/>
      <c r="AB40" s="603"/>
      <c r="AC40" s="603"/>
      <c r="AD40" s="603"/>
      <c r="AE40" s="603"/>
      <c r="AF40" s="603"/>
      <c r="AG40" s="603"/>
      <c r="AH40" s="603"/>
      <c r="AI40" s="603"/>
      <c r="AJ40" s="603"/>
      <c r="AK40" s="603"/>
      <c r="AL40" s="603"/>
      <c r="AM40" s="603"/>
      <c r="AN40" s="603"/>
      <c r="AO40" s="603"/>
      <c r="AP40" s="603"/>
      <c r="AQ40" s="603"/>
      <c r="AR40" s="603"/>
      <c r="AS40" s="603"/>
      <c r="AT40" s="603"/>
      <c r="AU40" s="603"/>
      <c r="AV40" s="603"/>
      <c r="AW40" s="603"/>
      <c r="AX40" s="603"/>
      <c r="AY40" s="603"/>
      <c r="AZ40" s="603"/>
      <c r="BA40" s="603"/>
      <c r="BB40" s="603"/>
      <c r="BC40" s="603"/>
      <c r="BD40" s="603"/>
      <c r="BE40" s="603"/>
      <c r="BF40" s="603"/>
      <c r="BG40" s="603"/>
      <c r="BH40" s="603"/>
      <c r="BI40" s="603"/>
      <c r="BJ40" s="603"/>
      <c r="BK40" s="603"/>
      <c r="BL40" s="603"/>
      <c r="BM40" s="603"/>
      <c r="BN40" s="603"/>
      <c r="BO40" s="603"/>
      <c r="BP40" s="603"/>
      <c r="BQ40" s="603"/>
      <c r="BR40" s="603"/>
      <c r="BS40" s="603"/>
      <c r="BT40" s="603"/>
      <c r="BU40" s="603"/>
      <c r="BV40" s="603"/>
      <c r="BW40" s="603"/>
      <c r="BX40" s="603"/>
      <c r="BY40" s="603"/>
      <c r="BZ40" s="603"/>
      <c r="CA40" s="603"/>
      <c r="CB40" s="603"/>
      <c r="CC40" s="603"/>
      <c r="CD40" s="603"/>
      <c r="CE40" s="603"/>
      <c r="CF40" s="603"/>
      <c r="CG40" s="603"/>
      <c r="CH40" s="603"/>
      <c r="CI40" s="603"/>
      <c r="CJ40" s="603"/>
      <c r="CK40" s="603"/>
      <c r="CL40" s="603"/>
      <c r="CM40" s="603"/>
      <c r="CN40" s="603"/>
      <c r="CO40" s="603"/>
      <c r="CP40" s="603"/>
      <c r="CQ40" s="603"/>
      <c r="CR40" s="603"/>
      <c r="CS40" s="603"/>
      <c r="CT40" s="603"/>
      <c r="CU40" s="603"/>
      <c r="CV40" s="603"/>
      <c r="CW40" s="603"/>
      <c r="CX40" s="603"/>
      <c r="CY40" s="603"/>
      <c r="CZ40" s="603"/>
      <c r="DA40" s="603"/>
      <c r="DB40" s="603"/>
      <c r="DC40" s="603"/>
      <c r="DD40" s="603"/>
      <c r="DE40" s="603"/>
      <c r="DF40" s="603"/>
      <c r="DG40" s="603"/>
      <c r="DH40" s="603"/>
      <c r="DI40" s="603"/>
      <c r="DJ40" s="603"/>
      <c r="DK40" s="603"/>
      <c r="DL40" s="603"/>
      <c r="DM40" s="603"/>
      <c r="DN40" s="603"/>
      <c r="DO40" s="603"/>
      <c r="DP40" s="603"/>
      <c r="DQ40" s="603"/>
      <c r="DR40" s="603"/>
      <c r="DS40" s="603"/>
      <c r="DT40" s="603"/>
      <c r="DU40" s="603"/>
      <c r="DV40" s="603"/>
      <c r="DW40" s="603"/>
      <c r="DX40" s="603"/>
      <c r="DY40" s="603"/>
      <c r="DZ40" s="603"/>
      <c r="EA40" s="603"/>
      <c r="EB40" s="603"/>
    </row>
    <row r="41" spans="1:132" s="605" customFormat="1" ht="20.100000000000001" customHeight="1">
      <c r="A41" s="662" t="s">
        <v>1630</v>
      </c>
      <c r="B41" s="734">
        <f>'예산세입(화정)'!P33</f>
        <v>2408000</v>
      </c>
      <c r="C41" s="664">
        <f t="shared" si="5"/>
        <v>2.7621413202347272E-4</v>
      </c>
      <c r="D41" s="734">
        <f>'예산세입(화정)'!Q33</f>
        <v>2100000</v>
      </c>
      <c r="E41" s="664">
        <f t="shared" si="5"/>
        <v>2.4088441746233084E-4</v>
      </c>
      <c r="F41" s="734">
        <f t="shared" si="14"/>
        <v>308000</v>
      </c>
      <c r="G41" s="735">
        <f t="shared" si="16"/>
        <v>0.14666666666666667</v>
      </c>
      <c r="H41" s="602"/>
      <c r="I41" s="724"/>
      <c r="J41" s="629"/>
      <c r="K41" s="603"/>
      <c r="L41" s="603"/>
      <c r="M41" s="603"/>
      <c r="N41" s="603"/>
      <c r="O41" s="603"/>
      <c r="P41" s="603"/>
      <c r="Q41" s="603"/>
      <c r="R41" s="603"/>
      <c r="S41" s="603"/>
      <c r="T41" s="603"/>
      <c r="U41" s="603"/>
      <c r="V41" s="603"/>
      <c r="W41" s="603"/>
      <c r="X41" s="603"/>
      <c r="Y41" s="603"/>
      <c r="Z41" s="603"/>
      <c r="AA41" s="603"/>
      <c r="AB41" s="603"/>
      <c r="AC41" s="603"/>
      <c r="AD41" s="603"/>
      <c r="AE41" s="603"/>
      <c r="AF41" s="603"/>
      <c r="AG41" s="603"/>
      <c r="AH41" s="603"/>
      <c r="AI41" s="603"/>
      <c r="AJ41" s="603"/>
      <c r="AK41" s="603"/>
      <c r="AL41" s="603"/>
      <c r="AM41" s="603"/>
      <c r="AN41" s="603"/>
      <c r="AO41" s="603"/>
      <c r="AP41" s="603"/>
      <c r="AQ41" s="603"/>
      <c r="AR41" s="603"/>
      <c r="AS41" s="603"/>
      <c r="AT41" s="603"/>
      <c r="AU41" s="603"/>
      <c r="AV41" s="603"/>
      <c r="AW41" s="603"/>
      <c r="AX41" s="603"/>
      <c r="AY41" s="603"/>
      <c r="AZ41" s="603"/>
      <c r="BA41" s="603"/>
      <c r="BB41" s="603"/>
      <c r="BC41" s="603"/>
      <c r="BD41" s="603"/>
      <c r="BE41" s="603"/>
      <c r="BF41" s="603"/>
      <c r="BG41" s="603"/>
      <c r="BH41" s="603"/>
      <c r="BI41" s="603"/>
      <c r="BJ41" s="603"/>
      <c r="BK41" s="603"/>
      <c r="BL41" s="603"/>
      <c r="BM41" s="603"/>
      <c r="BN41" s="603"/>
      <c r="BO41" s="603"/>
      <c r="BP41" s="603"/>
      <c r="BQ41" s="603"/>
      <c r="BR41" s="603"/>
      <c r="BS41" s="603"/>
      <c r="BT41" s="603"/>
      <c r="BU41" s="603"/>
      <c r="BV41" s="603"/>
      <c r="BW41" s="603"/>
      <c r="BX41" s="603"/>
      <c r="BY41" s="603"/>
      <c r="BZ41" s="603"/>
      <c r="CA41" s="603"/>
      <c r="CB41" s="603"/>
      <c r="CC41" s="603"/>
      <c r="CD41" s="603"/>
      <c r="CE41" s="603"/>
      <c r="CF41" s="603"/>
      <c r="CG41" s="603"/>
      <c r="CH41" s="603"/>
      <c r="CI41" s="603"/>
      <c r="CJ41" s="603"/>
      <c r="CK41" s="603"/>
      <c r="CL41" s="603"/>
      <c r="CM41" s="603"/>
      <c r="CN41" s="603"/>
      <c r="CO41" s="603"/>
      <c r="CP41" s="603"/>
      <c r="CQ41" s="603"/>
      <c r="CR41" s="603"/>
      <c r="CS41" s="603"/>
      <c r="CT41" s="603"/>
      <c r="CU41" s="603"/>
      <c r="CV41" s="603"/>
      <c r="CW41" s="603"/>
      <c r="CX41" s="603"/>
      <c r="CY41" s="603"/>
      <c r="CZ41" s="603"/>
      <c r="DA41" s="603"/>
      <c r="DB41" s="603"/>
      <c r="DC41" s="603"/>
      <c r="DD41" s="603"/>
      <c r="DE41" s="603"/>
      <c r="DF41" s="603"/>
      <c r="DG41" s="603"/>
      <c r="DH41" s="603"/>
      <c r="DI41" s="603"/>
      <c r="DJ41" s="603"/>
      <c r="DK41" s="603"/>
      <c r="DL41" s="603"/>
      <c r="DM41" s="603"/>
      <c r="DN41" s="603"/>
      <c r="DO41" s="603"/>
      <c r="DP41" s="603"/>
      <c r="DQ41" s="603"/>
      <c r="DR41" s="603"/>
      <c r="DS41" s="603"/>
      <c r="DT41" s="603"/>
      <c r="DU41" s="603"/>
      <c r="DV41" s="603"/>
      <c r="DW41" s="603"/>
      <c r="DX41" s="603"/>
      <c r="DY41" s="603"/>
      <c r="DZ41" s="603"/>
      <c r="EA41" s="603"/>
      <c r="EB41" s="603"/>
    </row>
    <row r="42" spans="1:132" s="605" customFormat="1" ht="20.100000000000001" customHeight="1">
      <c r="A42" s="736" t="s">
        <v>32</v>
      </c>
      <c r="B42" s="737">
        <f>SUM(B43:B43)</f>
        <v>300000000</v>
      </c>
      <c r="C42" s="738">
        <f t="shared" si="5"/>
        <v>3.4412059637475831E-2</v>
      </c>
      <c r="D42" s="737">
        <f>SUM(D43:D43)</f>
        <v>81325000</v>
      </c>
      <c r="E42" s="739">
        <f t="shared" si="1"/>
        <v>1.3960699921600348E-2</v>
      </c>
      <c r="F42" s="737">
        <f>SUM(F43:F43)</f>
        <v>218675000</v>
      </c>
      <c r="G42" s="649">
        <f>+F42/D42</f>
        <v>2.6889025514909313</v>
      </c>
      <c r="H42" s="650"/>
      <c r="I42" s="629"/>
      <c r="J42" s="603"/>
      <c r="K42" s="603"/>
      <c r="L42" s="603"/>
      <c r="M42" s="603"/>
      <c r="N42" s="603"/>
      <c r="O42" s="603"/>
      <c r="P42" s="603"/>
      <c r="Q42" s="603"/>
      <c r="R42" s="603"/>
      <c r="S42" s="603"/>
      <c r="T42" s="603"/>
      <c r="U42" s="603"/>
      <c r="V42" s="603"/>
      <c r="W42" s="603"/>
      <c r="X42" s="603"/>
      <c r="Y42" s="603"/>
      <c r="Z42" s="603"/>
      <c r="AA42" s="603"/>
      <c r="AB42" s="603"/>
      <c r="AC42" s="603"/>
      <c r="AD42" s="603"/>
      <c r="AE42" s="603"/>
      <c r="AF42" s="603"/>
      <c r="AG42" s="603"/>
      <c r="AH42" s="603"/>
      <c r="AI42" s="603"/>
      <c r="AJ42" s="603"/>
      <c r="AK42" s="603"/>
      <c r="AL42" s="603"/>
      <c r="AM42" s="603"/>
      <c r="AN42" s="603"/>
      <c r="AO42" s="603"/>
      <c r="AP42" s="603"/>
      <c r="AQ42" s="603"/>
      <c r="AR42" s="603"/>
      <c r="AS42" s="603"/>
      <c r="AT42" s="603"/>
      <c r="AU42" s="603"/>
      <c r="AV42" s="603"/>
      <c r="AW42" s="603"/>
      <c r="AX42" s="603"/>
      <c r="AY42" s="603"/>
      <c r="AZ42" s="603"/>
      <c r="BA42" s="603"/>
      <c r="BB42" s="603"/>
      <c r="BC42" s="603"/>
      <c r="BD42" s="603"/>
      <c r="BE42" s="603"/>
      <c r="BF42" s="603"/>
      <c r="BG42" s="603"/>
      <c r="BH42" s="603"/>
      <c r="BI42" s="603"/>
      <c r="BJ42" s="603"/>
      <c r="BK42" s="603"/>
      <c r="BL42" s="603"/>
      <c r="BM42" s="603"/>
      <c r="BN42" s="603"/>
      <c r="BO42" s="603"/>
      <c r="BP42" s="603"/>
      <c r="BQ42" s="603"/>
      <c r="BR42" s="603"/>
      <c r="BS42" s="603"/>
      <c r="BT42" s="603"/>
      <c r="BU42" s="603"/>
      <c r="BV42" s="603"/>
      <c r="BW42" s="603"/>
      <c r="BX42" s="603"/>
      <c r="BY42" s="603"/>
      <c r="BZ42" s="603"/>
      <c r="CA42" s="603"/>
      <c r="CB42" s="603"/>
      <c r="CC42" s="603"/>
      <c r="CD42" s="603"/>
      <c r="CE42" s="603"/>
      <c r="CF42" s="603"/>
      <c r="CG42" s="603"/>
      <c r="CH42" s="603"/>
      <c r="CI42" s="603"/>
      <c r="CJ42" s="603"/>
      <c r="CK42" s="603"/>
      <c r="CL42" s="603"/>
      <c r="CM42" s="603"/>
      <c r="CN42" s="603"/>
      <c r="CO42" s="603"/>
      <c r="CP42" s="603"/>
      <c r="CQ42" s="603"/>
      <c r="CR42" s="603"/>
      <c r="CS42" s="603"/>
      <c r="CT42" s="603"/>
      <c r="CU42" s="603"/>
      <c r="CV42" s="603"/>
      <c r="CW42" s="603"/>
      <c r="CX42" s="603"/>
      <c r="CY42" s="603"/>
      <c r="CZ42" s="603"/>
      <c r="DA42" s="603"/>
      <c r="DB42" s="603"/>
      <c r="DC42" s="603"/>
      <c r="DD42" s="603"/>
      <c r="DE42" s="603"/>
      <c r="DF42" s="603"/>
      <c r="DG42" s="603"/>
      <c r="DH42" s="603"/>
      <c r="DI42" s="603"/>
      <c r="DJ42" s="603"/>
      <c r="DK42" s="603"/>
      <c r="DL42" s="603"/>
      <c r="DM42" s="603"/>
      <c r="DN42" s="603"/>
      <c r="DO42" s="603"/>
      <c r="DP42" s="603"/>
      <c r="DQ42" s="603"/>
      <c r="DR42" s="603"/>
      <c r="DS42" s="603"/>
      <c r="DT42" s="603"/>
      <c r="DU42" s="603"/>
      <c r="DV42" s="603"/>
      <c r="DW42" s="603"/>
      <c r="DX42" s="603"/>
      <c r="DY42" s="603"/>
      <c r="DZ42" s="603"/>
      <c r="EA42" s="603"/>
      <c r="EB42" s="603"/>
    </row>
    <row r="43" spans="1:132" s="605" customFormat="1" ht="20.100000000000001" customHeight="1">
      <c r="A43" s="740" t="s">
        <v>33</v>
      </c>
      <c r="B43" s="741">
        <f>'예산세입(사무국)'!M26</f>
        <v>300000000</v>
      </c>
      <c r="C43" s="742">
        <f t="shared" si="5"/>
        <v>3.4412059637475831E-2</v>
      </c>
      <c r="D43" s="741">
        <f>ROUNDUP('예산세입(사무국)'!N26,-3)</f>
        <v>81325000</v>
      </c>
      <c r="E43" s="742">
        <f t="shared" si="1"/>
        <v>1.3960699921600348E-2</v>
      </c>
      <c r="F43" s="741">
        <f>+B43-D43</f>
        <v>218675000</v>
      </c>
      <c r="G43" s="743">
        <f t="shared" ref="G43" si="21">+F43/D43</f>
        <v>2.6889025514909313</v>
      </c>
      <c r="H43" s="602"/>
      <c r="I43" s="629"/>
      <c r="J43" s="603"/>
      <c r="K43" s="603"/>
      <c r="L43" s="603"/>
      <c r="M43" s="603"/>
      <c r="N43" s="603"/>
      <c r="O43" s="603"/>
      <c r="P43" s="603"/>
      <c r="Q43" s="603"/>
      <c r="R43" s="603"/>
      <c r="S43" s="603"/>
      <c r="T43" s="603"/>
      <c r="U43" s="603"/>
      <c r="V43" s="603"/>
      <c r="W43" s="603"/>
      <c r="X43" s="603"/>
      <c r="Y43" s="603"/>
      <c r="Z43" s="603"/>
      <c r="AA43" s="603"/>
      <c r="AB43" s="603"/>
      <c r="AC43" s="603"/>
      <c r="AD43" s="603"/>
      <c r="AE43" s="603"/>
      <c r="AF43" s="603"/>
      <c r="AG43" s="603"/>
      <c r="AH43" s="603"/>
      <c r="AI43" s="603"/>
      <c r="AJ43" s="603"/>
      <c r="AK43" s="603"/>
      <c r="AL43" s="603"/>
      <c r="AM43" s="603"/>
      <c r="AN43" s="603"/>
      <c r="AO43" s="603"/>
      <c r="AP43" s="603"/>
      <c r="AQ43" s="603"/>
      <c r="AR43" s="603"/>
      <c r="AS43" s="603"/>
      <c r="AT43" s="603"/>
      <c r="AU43" s="603"/>
      <c r="AV43" s="603"/>
      <c r="AW43" s="603"/>
      <c r="AX43" s="603"/>
      <c r="AY43" s="603"/>
      <c r="AZ43" s="603"/>
      <c r="BA43" s="603"/>
      <c r="BB43" s="603"/>
      <c r="BC43" s="603"/>
      <c r="BD43" s="603"/>
      <c r="BE43" s="603"/>
      <c r="BF43" s="603"/>
      <c r="BG43" s="603"/>
      <c r="BH43" s="603"/>
      <c r="BI43" s="603"/>
      <c r="BJ43" s="603"/>
      <c r="BK43" s="603"/>
      <c r="BL43" s="603"/>
      <c r="BM43" s="603"/>
      <c r="BN43" s="603"/>
      <c r="BO43" s="603"/>
      <c r="BP43" s="603"/>
      <c r="BQ43" s="603"/>
      <c r="BR43" s="603"/>
      <c r="BS43" s="603"/>
      <c r="BT43" s="603"/>
      <c r="BU43" s="603"/>
      <c r="BV43" s="603"/>
      <c r="BW43" s="603"/>
      <c r="BX43" s="603"/>
      <c r="BY43" s="603"/>
      <c r="BZ43" s="603"/>
      <c r="CA43" s="603"/>
      <c r="CB43" s="603"/>
      <c r="CC43" s="603"/>
      <c r="CD43" s="603"/>
      <c r="CE43" s="603"/>
      <c r="CF43" s="603"/>
      <c r="CG43" s="603"/>
      <c r="CH43" s="603"/>
      <c r="CI43" s="603"/>
      <c r="CJ43" s="603"/>
      <c r="CK43" s="603"/>
      <c r="CL43" s="603"/>
      <c r="CM43" s="603"/>
      <c r="CN43" s="603"/>
      <c r="CO43" s="603"/>
      <c r="CP43" s="603"/>
      <c r="CQ43" s="603"/>
      <c r="CR43" s="603"/>
      <c r="CS43" s="603"/>
      <c r="CT43" s="603"/>
      <c r="CU43" s="603"/>
      <c r="CV43" s="603"/>
      <c r="CW43" s="603"/>
      <c r="CX43" s="603"/>
      <c r="CY43" s="603"/>
      <c r="CZ43" s="603"/>
      <c r="DA43" s="603"/>
      <c r="DB43" s="603"/>
      <c r="DC43" s="603"/>
      <c r="DD43" s="603"/>
      <c r="DE43" s="603"/>
      <c r="DF43" s="603"/>
      <c r="DG43" s="603"/>
      <c r="DH43" s="603"/>
      <c r="DI43" s="603"/>
      <c r="DJ43" s="603"/>
      <c r="DK43" s="603"/>
      <c r="DL43" s="603"/>
      <c r="DM43" s="603"/>
      <c r="DN43" s="603"/>
      <c r="DO43" s="603"/>
      <c r="DP43" s="603"/>
      <c r="DQ43" s="603"/>
      <c r="DR43" s="603"/>
      <c r="DS43" s="603"/>
      <c r="DT43" s="603"/>
      <c r="DU43" s="603"/>
      <c r="DV43" s="603"/>
      <c r="DW43" s="603"/>
      <c r="DX43" s="603"/>
      <c r="DY43" s="603"/>
      <c r="DZ43" s="603"/>
      <c r="EA43" s="603"/>
      <c r="EB43" s="603"/>
    </row>
    <row r="44" spans="1:132" s="605" customFormat="1" ht="20.100000000000001" customHeight="1">
      <c r="A44" s="744" t="s">
        <v>34</v>
      </c>
      <c r="B44" s="745">
        <f>SUM(B45,B54,B61,B68,B75)</f>
        <v>2413542000</v>
      </c>
      <c r="C44" s="746">
        <f>+B44/$B$7</f>
        <v>0.27684983747184233</v>
      </c>
      <c r="D44" s="745">
        <f>SUM(D45,D54,D61,D68,D75)</f>
        <v>1413400000</v>
      </c>
      <c r="E44" s="746">
        <f>+D44/$D$7</f>
        <v>0.24263207216956573</v>
      </c>
      <c r="F44" s="745">
        <f>B44-D44</f>
        <v>1000142000</v>
      </c>
      <c r="G44" s="747">
        <f>+F44/D44</f>
        <v>0.70761426347813783</v>
      </c>
      <c r="H44" s="670"/>
      <c r="I44" s="629"/>
      <c r="J44" s="603"/>
      <c r="K44" s="603"/>
      <c r="L44" s="603"/>
      <c r="M44" s="603"/>
      <c r="N44" s="603"/>
      <c r="O44" s="603"/>
      <c r="P44" s="603"/>
      <c r="Q44" s="603"/>
      <c r="R44" s="603"/>
      <c r="S44" s="603"/>
      <c r="T44" s="603"/>
      <c r="U44" s="603"/>
      <c r="V44" s="603"/>
      <c r="W44" s="603"/>
      <c r="X44" s="603"/>
      <c r="Y44" s="603"/>
      <c r="Z44" s="603"/>
      <c r="AA44" s="603"/>
      <c r="AB44" s="603"/>
      <c r="AC44" s="603"/>
      <c r="AD44" s="603"/>
      <c r="AE44" s="603"/>
      <c r="AF44" s="603"/>
      <c r="AG44" s="603"/>
      <c r="AH44" s="603"/>
      <c r="AI44" s="603"/>
      <c r="AJ44" s="603"/>
      <c r="AK44" s="603"/>
      <c r="AL44" s="603"/>
      <c r="AM44" s="603"/>
      <c r="AN44" s="603"/>
      <c r="AO44" s="603"/>
      <c r="AP44" s="603"/>
      <c r="AQ44" s="603"/>
      <c r="AR44" s="603"/>
      <c r="AS44" s="603"/>
      <c r="AT44" s="603"/>
      <c r="AU44" s="603"/>
      <c r="AV44" s="603"/>
      <c r="AW44" s="603"/>
      <c r="AX44" s="603"/>
      <c r="AY44" s="603"/>
      <c r="AZ44" s="603"/>
      <c r="BA44" s="603"/>
      <c r="BB44" s="603"/>
      <c r="BC44" s="603"/>
      <c r="BD44" s="603"/>
      <c r="BE44" s="603"/>
      <c r="BF44" s="603"/>
      <c r="BG44" s="603"/>
      <c r="BH44" s="603"/>
      <c r="BI44" s="603"/>
      <c r="BJ44" s="603"/>
      <c r="BK44" s="603"/>
      <c r="BL44" s="603"/>
      <c r="BM44" s="603"/>
      <c r="BN44" s="603"/>
      <c r="BO44" s="603"/>
      <c r="BP44" s="603"/>
      <c r="BQ44" s="603"/>
      <c r="BR44" s="603"/>
      <c r="BS44" s="603"/>
      <c r="BT44" s="603"/>
      <c r="BU44" s="603"/>
      <c r="BV44" s="603"/>
      <c r="BW44" s="603"/>
      <c r="BX44" s="603"/>
      <c r="BY44" s="603"/>
      <c r="BZ44" s="603"/>
      <c r="CA44" s="603"/>
      <c r="CB44" s="603"/>
      <c r="CC44" s="603"/>
      <c r="CD44" s="603"/>
      <c r="CE44" s="603"/>
      <c r="CF44" s="603"/>
      <c r="CG44" s="603"/>
      <c r="CH44" s="603"/>
      <c r="CI44" s="603"/>
      <c r="CJ44" s="603"/>
      <c r="CK44" s="603"/>
      <c r="CL44" s="603"/>
      <c r="CM44" s="603"/>
      <c r="CN44" s="603"/>
      <c r="CO44" s="603"/>
      <c r="CP44" s="603"/>
      <c r="CQ44" s="603"/>
      <c r="CR44" s="603"/>
      <c r="CS44" s="603"/>
      <c r="CT44" s="603"/>
      <c r="CU44" s="603"/>
      <c r="CV44" s="603"/>
      <c r="CW44" s="603"/>
      <c r="CX44" s="603"/>
      <c r="CY44" s="603"/>
      <c r="CZ44" s="603"/>
      <c r="DA44" s="603"/>
      <c r="DB44" s="603"/>
      <c r="DC44" s="603"/>
      <c r="DD44" s="603"/>
      <c r="DE44" s="603"/>
      <c r="DF44" s="603"/>
      <c r="DG44" s="603"/>
      <c r="DH44" s="603"/>
      <c r="DI44" s="603"/>
      <c r="DJ44" s="603"/>
      <c r="DK44" s="603"/>
      <c r="DL44" s="603"/>
      <c r="DM44" s="603"/>
      <c r="DN44" s="603"/>
      <c r="DO44" s="603"/>
      <c r="DP44" s="603"/>
      <c r="DQ44" s="603"/>
      <c r="DR44" s="603"/>
      <c r="DS44" s="603"/>
      <c r="DT44" s="603"/>
      <c r="DU44" s="603"/>
      <c r="DV44" s="603"/>
      <c r="DW44" s="603"/>
      <c r="DX44" s="603"/>
      <c r="DY44" s="603"/>
      <c r="DZ44" s="603"/>
      <c r="EA44" s="603"/>
      <c r="EB44" s="603"/>
    </row>
    <row r="45" spans="1:132" s="605" customFormat="1" ht="20.100000000000001" customHeight="1">
      <c r="A45" s="617" t="s">
        <v>35</v>
      </c>
      <c r="B45" s="618">
        <f>SUM(B46:B53)</f>
        <v>2002770000</v>
      </c>
      <c r="C45" s="748">
        <f t="shared" si="5"/>
        <v>0.22973146893382493</v>
      </c>
      <c r="D45" s="618">
        <f>SUM(D46:D53)</f>
        <v>1078032000</v>
      </c>
      <c r="E45" s="748">
        <f>+D45/$D$7</f>
        <v>0.18506094384116406</v>
      </c>
      <c r="F45" s="618">
        <f>SUM(F46:F53)</f>
        <v>924738000</v>
      </c>
      <c r="G45" s="620">
        <f>+F45/D45</f>
        <v>0.85780199474598162</v>
      </c>
      <c r="H45" s="749"/>
      <c r="I45" s="629"/>
      <c r="J45" s="603"/>
      <c r="K45" s="603"/>
      <c r="L45" s="603"/>
      <c r="M45" s="603"/>
      <c r="N45" s="603"/>
      <c r="O45" s="603"/>
      <c r="P45" s="603"/>
      <c r="Q45" s="603"/>
      <c r="R45" s="603"/>
      <c r="S45" s="603"/>
      <c r="T45" s="603"/>
      <c r="U45" s="603"/>
      <c r="V45" s="603"/>
      <c r="W45" s="603"/>
      <c r="X45" s="603"/>
      <c r="Y45" s="603"/>
      <c r="Z45" s="603"/>
      <c r="AA45" s="603"/>
      <c r="AB45" s="603"/>
      <c r="AC45" s="603"/>
      <c r="AD45" s="603"/>
      <c r="AE45" s="603"/>
      <c r="AF45" s="603"/>
      <c r="AG45" s="603"/>
      <c r="AH45" s="603"/>
      <c r="AI45" s="603"/>
      <c r="AJ45" s="603"/>
      <c r="AK45" s="603"/>
      <c r="AL45" s="603"/>
      <c r="AM45" s="603"/>
      <c r="AN45" s="603"/>
      <c r="AO45" s="603"/>
      <c r="AP45" s="603"/>
      <c r="AQ45" s="603"/>
      <c r="AR45" s="603"/>
      <c r="AS45" s="603"/>
      <c r="AT45" s="603"/>
      <c r="AU45" s="603"/>
      <c r="AV45" s="603"/>
      <c r="AW45" s="603"/>
      <c r="AX45" s="603"/>
      <c r="AY45" s="603"/>
      <c r="AZ45" s="603"/>
      <c r="BA45" s="603"/>
      <c r="BB45" s="603"/>
      <c r="BC45" s="603"/>
      <c r="BD45" s="603"/>
      <c r="BE45" s="603"/>
      <c r="BF45" s="603"/>
      <c r="BG45" s="603"/>
      <c r="BH45" s="603"/>
      <c r="BI45" s="603"/>
      <c r="BJ45" s="603"/>
      <c r="BK45" s="603"/>
      <c r="BL45" s="603"/>
      <c r="BM45" s="603"/>
      <c r="BN45" s="603"/>
      <c r="BO45" s="603"/>
      <c r="BP45" s="603"/>
      <c r="BQ45" s="603"/>
      <c r="BR45" s="603"/>
      <c r="BS45" s="603"/>
      <c r="BT45" s="603"/>
      <c r="BU45" s="603"/>
      <c r="BV45" s="603"/>
      <c r="BW45" s="603"/>
      <c r="BX45" s="603"/>
      <c r="BY45" s="603"/>
      <c r="BZ45" s="603"/>
      <c r="CA45" s="603"/>
      <c r="CB45" s="603"/>
      <c r="CC45" s="603"/>
      <c r="CD45" s="603"/>
      <c r="CE45" s="603"/>
      <c r="CF45" s="603"/>
      <c r="CG45" s="603"/>
      <c r="CH45" s="603"/>
      <c r="CI45" s="603"/>
      <c r="CJ45" s="603"/>
      <c r="CK45" s="603"/>
      <c r="CL45" s="603"/>
      <c r="CM45" s="603"/>
      <c r="CN45" s="603"/>
      <c r="CO45" s="603"/>
      <c r="CP45" s="603"/>
      <c r="CQ45" s="603"/>
      <c r="CR45" s="603"/>
      <c r="CS45" s="603"/>
      <c r="CT45" s="603"/>
      <c r="CU45" s="603"/>
      <c r="CV45" s="603"/>
      <c r="CW45" s="603"/>
      <c r="CX45" s="603"/>
      <c r="CY45" s="603"/>
      <c r="CZ45" s="603"/>
      <c r="DA45" s="603"/>
      <c r="DB45" s="603"/>
      <c r="DC45" s="603"/>
      <c r="DD45" s="603"/>
      <c r="DE45" s="603"/>
      <c r="DF45" s="603"/>
      <c r="DG45" s="603"/>
      <c r="DH45" s="603"/>
      <c r="DI45" s="603"/>
      <c r="DJ45" s="603"/>
      <c r="DK45" s="603"/>
      <c r="DL45" s="603"/>
      <c r="DM45" s="603"/>
      <c r="DN45" s="603"/>
      <c r="DO45" s="603"/>
      <c r="DP45" s="603"/>
      <c r="DQ45" s="603"/>
      <c r="DR45" s="603"/>
      <c r="DS45" s="603"/>
      <c r="DT45" s="603"/>
      <c r="DU45" s="603"/>
      <c r="DV45" s="603"/>
      <c r="DW45" s="603"/>
      <c r="DX45" s="603"/>
      <c r="DY45" s="603"/>
      <c r="DZ45" s="603"/>
      <c r="EA45" s="603"/>
      <c r="EB45" s="603"/>
    </row>
    <row r="46" spans="1:132" s="605" customFormat="1" ht="20.100000000000001" customHeight="1">
      <c r="A46" s="684" t="s">
        <v>22</v>
      </c>
      <c r="B46" s="685">
        <f>'예산세입(마두)'!P8</f>
        <v>597440000</v>
      </c>
      <c r="C46" s="686">
        <f t="shared" si="5"/>
        <v>6.8530469699378538E-2</v>
      </c>
      <c r="D46" s="685">
        <f>'예산세입(마두)'!Q8</f>
        <v>597192000</v>
      </c>
      <c r="E46" s="686">
        <f t="shared" ref="E46:E76" si="22">+D46/$D$7</f>
        <v>0.10251728629056693</v>
      </c>
      <c r="F46" s="685">
        <f t="shared" ref="F46:F53" si="23">+B46-D46</f>
        <v>248000</v>
      </c>
      <c r="G46" s="640">
        <f t="shared" ref="G46:G61" si="24">+F46/D46</f>
        <v>4.1527682889255048E-4</v>
      </c>
      <c r="H46" s="670"/>
      <c r="I46" s="629"/>
      <c r="J46" s="603"/>
      <c r="K46" s="603"/>
      <c r="L46" s="603"/>
      <c r="M46" s="603"/>
      <c r="N46" s="603"/>
      <c r="O46" s="603"/>
      <c r="P46" s="603"/>
      <c r="Q46" s="603"/>
      <c r="R46" s="603"/>
      <c r="S46" s="603"/>
      <c r="T46" s="603"/>
      <c r="U46" s="603"/>
      <c r="V46" s="603"/>
      <c r="W46" s="603"/>
      <c r="X46" s="603"/>
      <c r="Y46" s="603"/>
      <c r="Z46" s="603"/>
      <c r="AA46" s="603"/>
      <c r="AB46" s="603"/>
      <c r="AC46" s="603"/>
      <c r="AD46" s="603"/>
      <c r="AE46" s="603"/>
      <c r="AF46" s="603"/>
      <c r="AG46" s="603"/>
      <c r="AH46" s="603"/>
      <c r="AI46" s="603"/>
      <c r="AJ46" s="603"/>
      <c r="AK46" s="603"/>
      <c r="AL46" s="603"/>
      <c r="AM46" s="603"/>
      <c r="AN46" s="603"/>
      <c r="AO46" s="603"/>
      <c r="AP46" s="603"/>
      <c r="AQ46" s="603"/>
      <c r="AR46" s="603"/>
      <c r="AS46" s="603"/>
      <c r="AT46" s="603"/>
      <c r="AU46" s="603"/>
      <c r="AV46" s="603"/>
      <c r="AW46" s="603"/>
      <c r="AX46" s="603"/>
      <c r="AY46" s="603"/>
      <c r="AZ46" s="603"/>
      <c r="BA46" s="603"/>
      <c r="BB46" s="603"/>
      <c r="BC46" s="603"/>
      <c r="BD46" s="603"/>
      <c r="BE46" s="603"/>
      <c r="BF46" s="603"/>
      <c r="BG46" s="603"/>
      <c r="BH46" s="603"/>
      <c r="BI46" s="603"/>
      <c r="BJ46" s="603"/>
      <c r="BK46" s="603"/>
      <c r="BL46" s="603"/>
      <c r="BM46" s="603"/>
      <c r="BN46" s="603"/>
      <c r="BO46" s="603"/>
      <c r="BP46" s="603"/>
      <c r="BQ46" s="603"/>
      <c r="BR46" s="603"/>
      <c r="BS46" s="603"/>
      <c r="BT46" s="603"/>
      <c r="BU46" s="603"/>
      <c r="BV46" s="603"/>
      <c r="BW46" s="603"/>
      <c r="BX46" s="603"/>
      <c r="BY46" s="603"/>
      <c r="BZ46" s="603"/>
      <c r="CA46" s="603"/>
      <c r="CB46" s="603"/>
      <c r="CC46" s="603"/>
      <c r="CD46" s="603"/>
      <c r="CE46" s="603"/>
      <c r="CF46" s="603"/>
      <c r="CG46" s="603"/>
      <c r="CH46" s="603"/>
      <c r="CI46" s="603"/>
      <c r="CJ46" s="603"/>
      <c r="CK46" s="603"/>
      <c r="CL46" s="603"/>
      <c r="CM46" s="603"/>
      <c r="CN46" s="603"/>
      <c r="CO46" s="603"/>
      <c r="CP46" s="603"/>
      <c r="CQ46" s="603"/>
      <c r="CR46" s="603"/>
      <c r="CS46" s="603"/>
      <c r="CT46" s="603"/>
      <c r="CU46" s="603"/>
      <c r="CV46" s="603"/>
      <c r="CW46" s="603"/>
      <c r="CX46" s="603"/>
      <c r="CY46" s="603"/>
      <c r="CZ46" s="603"/>
      <c r="DA46" s="603"/>
      <c r="DB46" s="603"/>
      <c r="DC46" s="603"/>
      <c r="DD46" s="603"/>
      <c r="DE46" s="603"/>
      <c r="DF46" s="603"/>
      <c r="DG46" s="603"/>
      <c r="DH46" s="603"/>
      <c r="DI46" s="603"/>
      <c r="DJ46" s="603"/>
      <c r="DK46" s="603"/>
      <c r="DL46" s="603"/>
      <c r="DM46" s="603"/>
      <c r="DN46" s="603"/>
      <c r="DO46" s="603"/>
      <c r="DP46" s="603"/>
      <c r="DQ46" s="603"/>
      <c r="DR46" s="603"/>
      <c r="DS46" s="603"/>
      <c r="DT46" s="603"/>
      <c r="DU46" s="603"/>
      <c r="DV46" s="603"/>
      <c r="DW46" s="603"/>
      <c r="DX46" s="603"/>
      <c r="DY46" s="603"/>
      <c r="DZ46" s="603"/>
      <c r="EA46" s="603"/>
      <c r="EB46" s="603"/>
    </row>
    <row r="47" spans="1:132" s="605" customFormat="1" ht="20.100000000000001" customHeight="1">
      <c r="A47" s="684" t="s">
        <v>24</v>
      </c>
      <c r="B47" s="685">
        <f>'예산세입(성사)'!P8</f>
        <v>8690000</v>
      </c>
      <c r="C47" s="686">
        <f t="shared" si="5"/>
        <v>9.9680266083221661E-4</v>
      </c>
      <c r="D47" s="685">
        <f>'예산세입(성사)'!Q9</f>
        <v>10000000</v>
      </c>
      <c r="E47" s="676">
        <f t="shared" si="22"/>
        <v>1.7166553853796924E-3</v>
      </c>
      <c r="F47" s="685">
        <f t="shared" si="23"/>
        <v>-1310000</v>
      </c>
      <c r="G47" s="640">
        <f t="shared" si="24"/>
        <v>-0.13100000000000001</v>
      </c>
      <c r="H47" s="670"/>
      <c r="I47" s="629"/>
      <c r="J47" s="603"/>
      <c r="K47" s="603"/>
      <c r="L47" s="603"/>
      <c r="M47" s="603"/>
      <c r="N47" s="603"/>
      <c r="O47" s="603"/>
      <c r="P47" s="603"/>
      <c r="Q47" s="603"/>
      <c r="R47" s="603"/>
      <c r="S47" s="603"/>
      <c r="T47" s="603"/>
      <c r="U47" s="603"/>
      <c r="V47" s="603"/>
      <c r="W47" s="603"/>
      <c r="X47" s="603"/>
      <c r="Y47" s="603"/>
      <c r="Z47" s="603"/>
      <c r="AA47" s="603"/>
      <c r="AB47" s="603"/>
      <c r="AC47" s="603"/>
      <c r="AD47" s="603"/>
      <c r="AE47" s="603"/>
      <c r="AF47" s="603"/>
      <c r="AG47" s="603"/>
      <c r="AH47" s="603"/>
      <c r="AI47" s="603"/>
      <c r="AJ47" s="603"/>
      <c r="AK47" s="603"/>
      <c r="AL47" s="603"/>
      <c r="AM47" s="603"/>
      <c r="AN47" s="603"/>
      <c r="AO47" s="603"/>
      <c r="AP47" s="603"/>
      <c r="AQ47" s="603"/>
      <c r="AR47" s="603"/>
      <c r="AS47" s="603"/>
      <c r="AT47" s="603"/>
      <c r="AU47" s="603"/>
      <c r="AV47" s="603"/>
      <c r="AW47" s="603"/>
      <c r="AX47" s="603"/>
      <c r="AY47" s="603"/>
      <c r="AZ47" s="603"/>
      <c r="BA47" s="603"/>
      <c r="BB47" s="603"/>
      <c r="BC47" s="603"/>
      <c r="BD47" s="603"/>
      <c r="BE47" s="603"/>
      <c r="BF47" s="603"/>
      <c r="BG47" s="603"/>
      <c r="BH47" s="603"/>
      <c r="BI47" s="603"/>
      <c r="BJ47" s="603"/>
      <c r="BK47" s="603"/>
      <c r="BL47" s="603"/>
      <c r="BM47" s="603"/>
      <c r="BN47" s="603"/>
      <c r="BO47" s="603"/>
      <c r="BP47" s="603"/>
      <c r="BQ47" s="603"/>
      <c r="BR47" s="603"/>
      <c r="BS47" s="603"/>
      <c r="BT47" s="603"/>
      <c r="BU47" s="603"/>
      <c r="BV47" s="603"/>
      <c r="BW47" s="603"/>
      <c r="BX47" s="603"/>
      <c r="BY47" s="603"/>
      <c r="BZ47" s="603"/>
      <c r="CA47" s="603"/>
      <c r="CB47" s="603"/>
      <c r="CC47" s="603"/>
      <c r="CD47" s="603"/>
      <c r="CE47" s="603"/>
      <c r="CF47" s="603"/>
      <c r="CG47" s="603"/>
      <c r="CH47" s="603"/>
      <c r="CI47" s="603"/>
      <c r="CJ47" s="603"/>
      <c r="CK47" s="603"/>
      <c r="CL47" s="603"/>
      <c r="CM47" s="603"/>
      <c r="CN47" s="603"/>
      <c r="CO47" s="603"/>
      <c r="CP47" s="603"/>
      <c r="CQ47" s="603"/>
      <c r="CR47" s="603"/>
      <c r="CS47" s="603"/>
      <c r="CT47" s="603"/>
      <c r="CU47" s="603"/>
      <c r="CV47" s="603"/>
      <c r="CW47" s="603"/>
      <c r="CX47" s="603"/>
      <c r="CY47" s="603"/>
      <c r="CZ47" s="603"/>
      <c r="DA47" s="603"/>
      <c r="DB47" s="603"/>
      <c r="DC47" s="603"/>
      <c r="DD47" s="603"/>
      <c r="DE47" s="603"/>
      <c r="DF47" s="603"/>
      <c r="DG47" s="603"/>
      <c r="DH47" s="603"/>
      <c r="DI47" s="603"/>
      <c r="DJ47" s="603"/>
      <c r="DK47" s="603"/>
      <c r="DL47" s="603"/>
      <c r="DM47" s="603"/>
      <c r="DN47" s="603"/>
      <c r="DO47" s="603"/>
      <c r="DP47" s="603"/>
      <c r="DQ47" s="603"/>
      <c r="DR47" s="603"/>
      <c r="DS47" s="603"/>
      <c r="DT47" s="603"/>
      <c r="DU47" s="603"/>
      <c r="DV47" s="603"/>
      <c r="DW47" s="603"/>
      <c r="DX47" s="603"/>
      <c r="DY47" s="603"/>
      <c r="DZ47" s="603"/>
      <c r="EA47" s="603"/>
      <c r="EB47" s="603"/>
    </row>
    <row r="48" spans="1:132" s="605" customFormat="1" ht="20.100000000000001" customHeight="1">
      <c r="A48" s="684" t="s">
        <v>25</v>
      </c>
      <c r="B48" s="685">
        <f>'예산세입(탄현)'!P8</f>
        <v>107650000</v>
      </c>
      <c r="C48" s="686">
        <f t="shared" si="5"/>
        <v>1.2348194066580912E-2</v>
      </c>
      <c r="D48" s="685">
        <f>'예산세입(탄현)'!Q8</f>
        <v>90220000</v>
      </c>
      <c r="E48" s="676">
        <f t="shared" si="22"/>
        <v>1.5487664886895585E-2</v>
      </c>
      <c r="F48" s="685">
        <f t="shared" si="23"/>
        <v>17430000</v>
      </c>
      <c r="G48" s="640">
        <f t="shared" si="24"/>
        <v>0.19319441365550877</v>
      </c>
      <c r="H48" s="670"/>
      <c r="I48" s="629"/>
      <c r="J48" s="603"/>
      <c r="K48" s="603"/>
      <c r="L48" s="603"/>
      <c r="M48" s="603"/>
      <c r="N48" s="603"/>
      <c r="O48" s="603"/>
      <c r="P48" s="603"/>
      <c r="Q48" s="603"/>
      <c r="R48" s="603"/>
      <c r="S48" s="603"/>
      <c r="T48" s="603"/>
      <c r="U48" s="603"/>
      <c r="V48" s="603"/>
      <c r="W48" s="603"/>
      <c r="X48" s="603"/>
      <c r="Y48" s="603"/>
      <c r="Z48" s="603"/>
      <c r="AA48" s="603"/>
      <c r="AB48" s="603"/>
      <c r="AC48" s="603"/>
      <c r="AD48" s="603"/>
      <c r="AE48" s="603"/>
      <c r="AF48" s="603"/>
      <c r="AG48" s="603"/>
      <c r="AH48" s="603"/>
      <c r="AI48" s="603"/>
      <c r="AJ48" s="603"/>
      <c r="AK48" s="603"/>
      <c r="AL48" s="603"/>
      <c r="AM48" s="603"/>
      <c r="AN48" s="603"/>
      <c r="AO48" s="603"/>
      <c r="AP48" s="603"/>
      <c r="AQ48" s="603"/>
      <c r="AR48" s="603"/>
      <c r="AS48" s="603"/>
      <c r="AT48" s="603"/>
      <c r="AU48" s="603"/>
      <c r="AV48" s="603"/>
      <c r="AW48" s="603"/>
      <c r="AX48" s="603"/>
      <c r="AY48" s="603"/>
      <c r="AZ48" s="603"/>
      <c r="BA48" s="603"/>
      <c r="BB48" s="603"/>
      <c r="BC48" s="603"/>
      <c r="BD48" s="603"/>
      <c r="BE48" s="603"/>
      <c r="BF48" s="603"/>
      <c r="BG48" s="603"/>
      <c r="BH48" s="603"/>
      <c r="BI48" s="603"/>
      <c r="BJ48" s="603"/>
      <c r="BK48" s="603"/>
      <c r="BL48" s="603"/>
      <c r="BM48" s="603"/>
      <c r="BN48" s="603"/>
      <c r="BO48" s="603"/>
      <c r="BP48" s="603"/>
      <c r="BQ48" s="603"/>
      <c r="BR48" s="603"/>
      <c r="BS48" s="603"/>
      <c r="BT48" s="603"/>
      <c r="BU48" s="603"/>
      <c r="BV48" s="603"/>
      <c r="BW48" s="603"/>
      <c r="BX48" s="603"/>
      <c r="BY48" s="603"/>
      <c r="BZ48" s="603"/>
      <c r="CA48" s="603"/>
      <c r="CB48" s="603"/>
      <c r="CC48" s="603"/>
      <c r="CD48" s="603"/>
      <c r="CE48" s="603"/>
      <c r="CF48" s="603"/>
      <c r="CG48" s="603"/>
      <c r="CH48" s="603"/>
      <c r="CI48" s="603"/>
      <c r="CJ48" s="603"/>
      <c r="CK48" s="603"/>
      <c r="CL48" s="603"/>
      <c r="CM48" s="603"/>
      <c r="CN48" s="603"/>
      <c r="CO48" s="603"/>
      <c r="CP48" s="603"/>
      <c r="CQ48" s="603"/>
      <c r="CR48" s="603"/>
      <c r="CS48" s="603"/>
      <c r="CT48" s="603"/>
      <c r="CU48" s="603"/>
      <c r="CV48" s="603"/>
      <c r="CW48" s="603"/>
      <c r="CX48" s="603"/>
      <c r="CY48" s="603"/>
      <c r="CZ48" s="603"/>
      <c r="DA48" s="603"/>
      <c r="DB48" s="603"/>
      <c r="DC48" s="603"/>
      <c r="DD48" s="603"/>
      <c r="DE48" s="603"/>
      <c r="DF48" s="603"/>
      <c r="DG48" s="603"/>
      <c r="DH48" s="603"/>
      <c r="DI48" s="603"/>
      <c r="DJ48" s="603"/>
      <c r="DK48" s="603"/>
      <c r="DL48" s="603"/>
      <c r="DM48" s="603"/>
      <c r="DN48" s="603"/>
      <c r="DO48" s="603"/>
      <c r="DP48" s="603"/>
      <c r="DQ48" s="603"/>
      <c r="DR48" s="603"/>
      <c r="DS48" s="603"/>
      <c r="DT48" s="603"/>
      <c r="DU48" s="603"/>
      <c r="DV48" s="603"/>
      <c r="DW48" s="603"/>
      <c r="DX48" s="603"/>
      <c r="DY48" s="603"/>
      <c r="DZ48" s="603"/>
      <c r="EA48" s="603"/>
      <c r="EB48" s="603"/>
    </row>
    <row r="49" spans="1:132" s="605" customFormat="1" ht="20.100000000000001" customHeight="1">
      <c r="A49" s="635" t="s">
        <v>2432</v>
      </c>
      <c r="B49" s="685">
        <f>'예산세입(주교)'!P8</f>
        <v>1480000</v>
      </c>
      <c r="C49" s="686">
        <f t="shared" si="5"/>
        <v>1.6976616087821411E-4</v>
      </c>
      <c r="D49" s="685">
        <f>'예산세입(주교)'!Q9</f>
        <v>2000000</v>
      </c>
      <c r="E49" s="676">
        <f t="shared" si="22"/>
        <v>3.4333107707593846E-4</v>
      </c>
      <c r="F49" s="685">
        <f t="shared" si="23"/>
        <v>-520000</v>
      </c>
      <c r="G49" s="640">
        <f t="shared" si="24"/>
        <v>-0.26</v>
      </c>
      <c r="H49" s="670"/>
      <c r="I49" s="629"/>
      <c r="J49" s="603"/>
      <c r="K49" s="603"/>
      <c r="L49" s="603"/>
      <c r="M49" s="603"/>
      <c r="N49" s="603"/>
      <c r="O49" s="603"/>
      <c r="P49" s="603"/>
      <c r="Q49" s="603"/>
      <c r="R49" s="603"/>
      <c r="S49" s="603"/>
      <c r="T49" s="603"/>
      <c r="U49" s="603"/>
      <c r="V49" s="603"/>
      <c r="W49" s="603"/>
      <c r="X49" s="603"/>
      <c r="Y49" s="603"/>
      <c r="Z49" s="603"/>
      <c r="AA49" s="603"/>
      <c r="AB49" s="603"/>
      <c r="AC49" s="603"/>
      <c r="AD49" s="603"/>
      <c r="AE49" s="603"/>
      <c r="AF49" s="603"/>
      <c r="AG49" s="603"/>
      <c r="AH49" s="603"/>
      <c r="AI49" s="603"/>
      <c r="AJ49" s="603"/>
      <c r="AK49" s="603"/>
      <c r="AL49" s="603"/>
      <c r="AM49" s="603"/>
      <c r="AN49" s="603"/>
      <c r="AO49" s="603"/>
      <c r="AP49" s="603"/>
      <c r="AQ49" s="603"/>
      <c r="AR49" s="603"/>
      <c r="AS49" s="603"/>
      <c r="AT49" s="603"/>
      <c r="AU49" s="603"/>
      <c r="AV49" s="603"/>
      <c r="AW49" s="603"/>
      <c r="AX49" s="603"/>
      <c r="AY49" s="603"/>
      <c r="AZ49" s="603"/>
      <c r="BA49" s="603"/>
      <c r="BB49" s="603"/>
      <c r="BC49" s="603"/>
      <c r="BD49" s="603"/>
      <c r="BE49" s="603"/>
      <c r="BF49" s="603"/>
      <c r="BG49" s="603"/>
      <c r="BH49" s="603"/>
      <c r="BI49" s="603"/>
      <c r="BJ49" s="603"/>
      <c r="BK49" s="603"/>
      <c r="BL49" s="603"/>
      <c r="BM49" s="603"/>
      <c r="BN49" s="603"/>
      <c r="BO49" s="603"/>
      <c r="BP49" s="603"/>
      <c r="BQ49" s="603"/>
      <c r="BR49" s="603"/>
      <c r="BS49" s="603"/>
      <c r="BT49" s="603"/>
      <c r="BU49" s="603"/>
      <c r="BV49" s="603"/>
      <c r="BW49" s="603"/>
      <c r="BX49" s="603"/>
      <c r="BY49" s="603"/>
      <c r="BZ49" s="603"/>
      <c r="CA49" s="603"/>
      <c r="CB49" s="603"/>
      <c r="CC49" s="603"/>
      <c r="CD49" s="603"/>
      <c r="CE49" s="603"/>
      <c r="CF49" s="603"/>
      <c r="CG49" s="603"/>
      <c r="CH49" s="603"/>
      <c r="CI49" s="603"/>
      <c r="CJ49" s="603"/>
      <c r="CK49" s="603"/>
      <c r="CL49" s="603"/>
      <c r="CM49" s="603"/>
      <c r="CN49" s="603"/>
      <c r="CO49" s="603"/>
      <c r="CP49" s="603"/>
      <c r="CQ49" s="603"/>
      <c r="CR49" s="603"/>
      <c r="CS49" s="603"/>
      <c r="CT49" s="603"/>
      <c r="CU49" s="603"/>
      <c r="CV49" s="603"/>
      <c r="CW49" s="603"/>
      <c r="CX49" s="603"/>
      <c r="CY49" s="603"/>
      <c r="CZ49" s="603"/>
      <c r="DA49" s="603"/>
      <c r="DB49" s="603"/>
      <c r="DC49" s="603"/>
      <c r="DD49" s="603"/>
      <c r="DE49" s="603"/>
      <c r="DF49" s="603"/>
      <c r="DG49" s="603"/>
      <c r="DH49" s="603"/>
      <c r="DI49" s="603"/>
      <c r="DJ49" s="603"/>
      <c r="DK49" s="603"/>
      <c r="DL49" s="603"/>
      <c r="DM49" s="603"/>
      <c r="DN49" s="603"/>
      <c r="DO49" s="603"/>
      <c r="DP49" s="603"/>
      <c r="DQ49" s="603"/>
      <c r="DR49" s="603"/>
      <c r="DS49" s="603"/>
      <c r="DT49" s="603"/>
      <c r="DU49" s="603"/>
      <c r="DV49" s="603"/>
      <c r="DW49" s="603"/>
      <c r="DX49" s="603"/>
      <c r="DY49" s="603"/>
      <c r="DZ49" s="603"/>
      <c r="EA49" s="603"/>
      <c r="EB49" s="603"/>
    </row>
    <row r="50" spans="1:132" s="605" customFormat="1" ht="20.100000000000001" customHeight="1">
      <c r="A50" s="684" t="s">
        <v>2127</v>
      </c>
      <c r="B50" s="685">
        <f>'예산세입(일산서구)'!P8</f>
        <v>529550000</v>
      </c>
      <c r="C50" s="686">
        <f t="shared" si="5"/>
        <v>6.0743020603417762E-2</v>
      </c>
      <c r="D50" s="685">
        <f>'예산세입(일산서구)'!Q8</f>
        <v>0</v>
      </c>
      <c r="E50" s="676">
        <f t="shared" si="22"/>
        <v>0</v>
      </c>
      <c r="F50" s="685">
        <f t="shared" si="23"/>
        <v>529550000</v>
      </c>
      <c r="G50" s="735">
        <v>1</v>
      </c>
      <c r="H50" s="602"/>
      <c r="I50" s="629"/>
      <c r="J50" s="603"/>
      <c r="K50" s="603"/>
      <c r="L50" s="603"/>
      <c r="M50" s="603"/>
      <c r="N50" s="603"/>
      <c r="O50" s="603"/>
      <c r="P50" s="603"/>
      <c r="Q50" s="603"/>
      <c r="R50" s="603"/>
      <c r="S50" s="603"/>
      <c r="T50" s="603"/>
      <c r="U50" s="603"/>
      <c r="V50" s="603"/>
      <c r="W50" s="603"/>
      <c r="X50" s="603"/>
      <c r="Y50" s="603"/>
      <c r="Z50" s="603"/>
      <c r="AA50" s="603"/>
      <c r="AB50" s="603"/>
      <c r="AC50" s="603"/>
      <c r="AD50" s="603"/>
      <c r="AE50" s="603"/>
      <c r="AF50" s="603"/>
      <c r="AG50" s="603"/>
      <c r="AH50" s="603"/>
      <c r="AI50" s="603"/>
      <c r="AJ50" s="603"/>
      <c r="AK50" s="603"/>
      <c r="AL50" s="603"/>
      <c r="AM50" s="603"/>
      <c r="AN50" s="603"/>
      <c r="AO50" s="603"/>
      <c r="AP50" s="603"/>
      <c r="AQ50" s="603"/>
      <c r="AR50" s="603"/>
      <c r="AS50" s="603"/>
      <c r="AT50" s="603"/>
      <c r="AU50" s="603"/>
      <c r="AV50" s="603"/>
      <c r="AW50" s="603"/>
      <c r="AX50" s="603"/>
      <c r="AY50" s="603"/>
      <c r="AZ50" s="603"/>
      <c r="BA50" s="603"/>
      <c r="BB50" s="603"/>
      <c r="BC50" s="603"/>
      <c r="BD50" s="603"/>
      <c r="BE50" s="603"/>
      <c r="BF50" s="603"/>
      <c r="BG50" s="603"/>
      <c r="BH50" s="603"/>
      <c r="BI50" s="603"/>
      <c r="BJ50" s="603"/>
      <c r="BK50" s="603"/>
      <c r="BL50" s="603"/>
      <c r="BM50" s="603"/>
      <c r="BN50" s="603"/>
      <c r="BO50" s="603"/>
      <c r="BP50" s="603"/>
      <c r="BQ50" s="603"/>
      <c r="BR50" s="603"/>
      <c r="BS50" s="603"/>
      <c r="BT50" s="603"/>
      <c r="BU50" s="603"/>
      <c r="BV50" s="603"/>
      <c r="BW50" s="603"/>
      <c r="BX50" s="603"/>
      <c r="BY50" s="603"/>
      <c r="BZ50" s="603"/>
      <c r="CA50" s="603"/>
      <c r="CB50" s="603"/>
      <c r="CC50" s="603"/>
      <c r="CD50" s="603"/>
      <c r="CE50" s="603"/>
      <c r="CF50" s="603"/>
      <c r="CG50" s="603"/>
      <c r="CH50" s="603"/>
      <c r="CI50" s="603"/>
      <c r="CJ50" s="603"/>
      <c r="CK50" s="603"/>
      <c r="CL50" s="603"/>
      <c r="CM50" s="603"/>
      <c r="CN50" s="603"/>
      <c r="CO50" s="603"/>
      <c r="CP50" s="603"/>
      <c r="CQ50" s="603"/>
      <c r="CR50" s="603"/>
      <c r="CS50" s="603"/>
      <c r="CT50" s="603"/>
      <c r="CU50" s="603"/>
      <c r="CV50" s="603"/>
      <c r="CW50" s="603"/>
      <c r="CX50" s="603"/>
      <c r="CY50" s="603"/>
      <c r="CZ50" s="603"/>
      <c r="DA50" s="603"/>
      <c r="DB50" s="603"/>
      <c r="DC50" s="603"/>
      <c r="DD50" s="603"/>
      <c r="DE50" s="603"/>
      <c r="DF50" s="603"/>
      <c r="DG50" s="603"/>
      <c r="DH50" s="603"/>
      <c r="DI50" s="603"/>
      <c r="DJ50" s="603"/>
      <c r="DK50" s="603"/>
      <c r="DL50" s="603"/>
      <c r="DM50" s="603"/>
      <c r="DN50" s="603"/>
      <c r="DO50" s="603"/>
      <c r="DP50" s="603"/>
      <c r="DQ50" s="603"/>
      <c r="DR50" s="603"/>
      <c r="DS50" s="603"/>
      <c r="DT50" s="603"/>
      <c r="DU50" s="603"/>
      <c r="DV50" s="603"/>
      <c r="DW50" s="603"/>
      <c r="DX50" s="603"/>
      <c r="DY50" s="603"/>
      <c r="DZ50" s="603"/>
      <c r="EA50" s="603"/>
      <c r="EB50" s="603"/>
    </row>
    <row r="51" spans="1:132" s="605" customFormat="1" ht="20.100000000000001" customHeight="1">
      <c r="A51" s="684" t="s">
        <v>26</v>
      </c>
      <c r="B51" s="685">
        <f>'예산세입(토당)'!P8</f>
        <v>736180000</v>
      </c>
      <c r="C51" s="686">
        <f t="shared" si="5"/>
        <v>8.4444900213056534E-2</v>
      </c>
      <c r="D51" s="685">
        <f>'예산세입(토당)'!Q8</f>
        <v>356020000</v>
      </c>
      <c r="E51" s="676">
        <f t="shared" si="22"/>
        <v>6.1116365030287806E-2</v>
      </c>
      <c r="F51" s="685">
        <f t="shared" si="23"/>
        <v>380160000</v>
      </c>
      <c r="G51" s="640">
        <f t="shared" si="24"/>
        <v>1.0678051794842986</v>
      </c>
      <c r="H51" s="670"/>
      <c r="I51" s="629"/>
      <c r="J51" s="603"/>
      <c r="K51" s="603"/>
      <c r="L51" s="603"/>
      <c r="M51" s="603"/>
      <c r="N51" s="603"/>
      <c r="O51" s="603"/>
      <c r="P51" s="603"/>
      <c r="Q51" s="603"/>
      <c r="R51" s="603"/>
      <c r="S51" s="603"/>
      <c r="T51" s="603"/>
      <c r="U51" s="603"/>
      <c r="V51" s="603"/>
      <c r="W51" s="603"/>
      <c r="X51" s="603"/>
      <c r="Y51" s="603"/>
      <c r="Z51" s="603"/>
      <c r="AA51" s="603"/>
      <c r="AB51" s="603"/>
      <c r="AC51" s="603"/>
      <c r="AD51" s="603"/>
      <c r="AE51" s="603"/>
      <c r="AF51" s="603"/>
      <c r="AG51" s="603"/>
      <c r="AH51" s="603"/>
      <c r="AI51" s="603"/>
      <c r="AJ51" s="603"/>
      <c r="AK51" s="603"/>
      <c r="AL51" s="603"/>
      <c r="AM51" s="603"/>
      <c r="AN51" s="603"/>
      <c r="AO51" s="603"/>
      <c r="AP51" s="603"/>
      <c r="AQ51" s="603"/>
      <c r="AR51" s="603"/>
      <c r="AS51" s="603"/>
      <c r="AT51" s="603"/>
      <c r="AU51" s="603"/>
      <c r="AV51" s="603"/>
      <c r="AW51" s="603"/>
      <c r="AX51" s="603"/>
      <c r="AY51" s="603"/>
      <c r="AZ51" s="603"/>
      <c r="BA51" s="603"/>
      <c r="BB51" s="603"/>
      <c r="BC51" s="603"/>
      <c r="BD51" s="603"/>
      <c r="BE51" s="603"/>
      <c r="BF51" s="603"/>
      <c r="BG51" s="603"/>
      <c r="BH51" s="603"/>
      <c r="BI51" s="603"/>
      <c r="BJ51" s="603"/>
      <c r="BK51" s="603"/>
      <c r="BL51" s="603"/>
      <c r="BM51" s="603"/>
      <c r="BN51" s="603"/>
      <c r="BO51" s="603"/>
      <c r="BP51" s="603"/>
      <c r="BQ51" s="603"/>
      <c r="BR51" s="603"/>
      <c r="BS51" s="603"/>
      <c r="BT51" s="603"/>
      <c r="BU51" s="603"/>
      <c r="BV51" s="603"/>
      <c r="BW51" s="603"/>
      <c r="BX51" s="603"/>
      <c r="BY51" s="603"/>
      <c r="BZ51" s="603"/>
      <c r="CA51" s="603"/>
      <c r="CB51" s="603"/>
      <c r="CC51" s="603"/>
      <c r="CD51" s="603"/>
      <c r="CE51" s="603"/>
      <c r="CF51" s="603"/>
      <c r="CG51" s="603"/>
      <c r="CH51" s="603"/>
      <c r="CI51" s="603"/>
      <c r="CJ51" s="603"/>
      <c r="CK51" s="603"/>
      <c r="CL51" s="603"/>
      <c r="CM51" s="603"/>
      <c r="CN51" s="603"/>
      <c r="CO51" s="603"/>
      <c r="CP51" s="603"/>
      <c r="CQ51" s="603"/>
      <c r="CR51" s="603"/>
      <c r="CS51" s="603"/>
      <c r="CT51" s="603"/>
      <c r="CU51" s="603"/>
      <c r="CV51" s="603"/>
      <c r="CW51" s="603"/>
      <c r="CX51" s="603"/>
      <c r="CY51" s="603"/>
      <c r="CZ51" s="603"/>
      <c r="DA51" s="603"/>
      <c r="DB51" s="603"/>
      <c r="DC51" s="603"/>
      <c r="DD51" s="603"/>
      <c r="DE51" s="603"/>
      <c r="DF51" s="603"/>
      <c r="DG51" s="603"/>
      <c r="DH51" s="603"/>
      <c r="DI51" s="603"/>
      <c r="DJ51" s="603"/>
      <c r="DK51" s="603"/>
      <c r="DL51" s="603"/>
      <c r="DM51" s="603"/>
      <c r="DN51" s="603"/>
      <c r="DO51" s="603"/>
      <c r="DP51" s="603"/>
      <c r="DQ51" s="603"/>
      <c r="DR51" s="603"/>
      <c r="DS51" s="603"/>
      <c r="DT51" s="603"/>
      <c r="DU51" s="603"/>
      <c r="DV51" s="603"/>
      <c r="DW51" s="603"/>
      <c r="DX51" s="603"/>
      <c r="DY51" s="603"/>
      <c r="DZ51" s="603"/>
      <c r="EA51" s="603"/>
      <c r="EB51" s="603"/>
    </row>
    <row r="52" spans="1:132" s="605" customFormat="1" ht="20.100000000000001" customHeight="1">
      <c r="A52" s="684" t="s">
        <v>27</v>
      </c>
      <c r="B52" s="685">
        <f>'예산세입(상담)'!P8</f>
        <v>20160000</v>
      </c>
      <c r="C52" s="686">
        <f t="shared" si="5"/>
        <v>2.3124904076383761E-3</v>
      </c>
      <c r="D52" s="685">
        <f>'예산세입(상담)'!Q9</f>
        <v>21040000</v>
      </c>
      <c r="E52" s="676">
        <f t="shared" si="22"/>
        <v>3.6118429308388727E-3</v>
      </c>
      <c r="F52" s="685">
        <f t="shared" si="23"/>
        <v>-880000</v>
      </c>
      <c r="G52" s="640">
        <f t="shared" si="24"/>
        <v>-4.1825095057034217E-2</v>
      </c>
      <c r="H52" s="670"/>
      <c r="I52" s="629"/>
      <c r="J52" s="603"/>
      <c r="K52" s="603"/>
      <c r="L52" s="603"/>
      <c r="M52" s="603"/>
      <c r="N52" s="603"/>
      <c r="O52" s="603"/>
      <c r="P52" s="603"/>
      <c r="Q52" s="603"/>
      <c r="R52" s="603"/>
      <c r="S52" s="603"/>
      <c r="T52" s="603"/>
      <c r="U52" s="603"/>
      <c r="V52" s="603"/>
      <c r="W52" s="603"/>
      <c r="X52" s="603"/>
      <c r="Y52" s="603"/>
      <c r="Z52" s="603"/>
      <c r="AA52" s="603"/>
      <c r="AB52" s="603"/>
      <c r="AC52" s="603"/>
      <c r="AD52" s="603"/>
      <c r="AE52" s="603"/>
      <c r="AF52" s="603"/>
      <c r="AG52" s="603"/>
      <c r="AH52" s="603"/>
      <c r="AI52" s="603"/>
      <c r="AJ52" s="603"/>
      <c r="AK52" s="603"/>
      <c r="AL52" s="603"/>
      <c r="AM52" s="603"/>
      <c r="AN52" s="603"/>
      <c r="AO52" s="603"/>
      <c r="AP52" s="603"/>
      <c r="AQ52" s="603"/>
      <c r="AR52" s="603"/>
      <c r="AS52" s="603"/>
      <c r="AT52" s="603"/>
      <c r="AU52" s="603"/>
      <c r="AV52" s="603"/>
      <c r="AW52" s="603"/>
      <c r="AX52" s="603"/>
      <c r="AY52" s="603"/>
      <c r="AZ52" s="603"/>
      <c r="BA52" s="603"/>
      <c r="BB52" s="603"/>
      <c r="BC52" s="603"/>
      <c r="BD52" s="603"/>
      <c r="BE52" s="603"/>
      <c r="BF52" s="603"/>
      <c r="BG52" s="603"/>
      <c r="BH52" s="603"/>
      <c r="BI52" s="603"/>
      <c r="BJ52" s="603"/>
      <c r="BK52" s="603"/>
      <c r="BL52" s="603"/>
      <c r="BM52" s="603"/>
      <c r="BN52" s="603"/>
      <c r="BO52" s="603"/>
      <c r="BP52" s="603"/>
      <c r="BQ52" s="603"/>
      <c r="BR52" s="603"/>
      <c r="BS52" s="603"/>
      <c r="BT52" s="603"/>
      <c r="BU52" s="603"/>
      <c r="BV52" s="603"/>
      <c r="BW52" s="603"/>
      <c r="BX52" s="603"/>
      <c r="BY52" s="603"/>
      <c r="BZ52" s="603"/>
      <c r="CA52" s="603"/>
      <c r="CB52" s="603"/>
      <c r="CC52" s="603"/>
      <c r="CD52" s="603"/>
      <c r="CE52" s="603"/>
      <c r="CF52" s="603"/>
      <c r="CG52" s="603"/>
      <c r="CH52" s="603"/>
      <c r="CI52" s="603"/>
      <c r="CJ52" s="603"/>
      <c r="CK52" s="603"/>
      <c r="CL52" s="603"/>
      <c r="CM52" s="603"/>
      <c r="CN52" s="603"/>
      <c r="CO52" s="603"/>
      <c r="CP52" s="603"/>
      <c r="CQ52" s="603"/>
      <c r="CR52" s="603"/>
      <c r="CS52" s="603"/>
      <c r="CT52" s="603"/>
      <c r="CU52" s="603"/>
      <c r="CV52" s="603"/>
      <c r="CW52" s="603"/>
      <c r="CX52" s="603"/>
      <c r="CY52" s="603"/>
      <c r="CZ52" s="603"/>
      <c r="DA52" s="603"/>
      <c r="DB52" s="603"/>
      <c r="DC52" s="603"/>
      <c r="DD52" s="603"/>
      <c r="DE52" s="603"/>
      <c r="DF52" s="603"/>
      <c r="DG52" s="603"/>
      <c r="DH52" s="603"/>
      <c r="DI52" s="603"/>
      <c r="DJ52" s="603"/>
      <c r="DK52" s="603"/>
      <c r="DL52" s="603"/>
      <c r="DM52" s="603"/>
      <c r="DN52" s="603"/>
      <c r="DO52" s="603"/>
      <c r="DP52" s="603"/>
      <c r="DQ52" s="603"/>
      <c r="DR52" s="603"/>
      <c r="DS52" s="603"/>
      <c r="DT52" s="603"/>
      <c r="DU52" s="603"/>
      <c r="DV52" s="603"/>
      <c r="DW52" s="603"/>
      <c r="DX52" s="603"/>
      <c r="DY52" s="603"/>
      <c r="DZ52" s="603"/>
      <c r="EA52" s="603"/>
      <c r="EB52" s="603"/>
    </row>
    <row r="53" spans="1:132" s="605" customFormat="1" ht="20.100000000000001" customHeight="1">
      <c r="A53" s="684" t="s">
        <v>36</v>
      </c>
      <c r="B53" s="685">
        <f>'예산세입(화정)'!P8</f>
        <v>1620000</v>
      </c>
      <c r="C53" s="686">
        <f t="shared" si="5"/>
        <v>1.8582512204236951E-4</v>
      </c>
      <c r="D53" s="685">
        <f>'예산세입(화정)'!Q8</f>
        <v>1560000</v>
      </c>
      <c r="E53" s="676">
        <f t="shared" si="22"/>
        <v>2.6779824011923203E-4</v>
      </c>
      <c r="F53" s="685">
        <f t="shared" si="23"/>
        <v>60000</v>
      </c>
      <c r="G53" s="640">
        <f t="shared" si="24"/>
        <v>3.8461538461538464E-2</v>
      </c>
      <c r="H53" s="670"/>
      <c r="I53" s="629"/>
      <c r="J53" s="603"/>
      <c r="K53" s="603"/>
      <c r="L53" s="603"/>
      <c r="M53" s="603"/>
      <c r="N53" s="603"/>
      <c r="O53" s="603"/>
      <c r="P53" s="603"/>
      <c r="Q53" s="603"/>
      <c r="R53" s="603"/>
      <c r="S53" s="603"/>
      <c r="T53" s="603"/>
      <c r="U53" s="603"/>
      <c r="V53" s="603"/>
      <c r="W53" s="603"/>
      <c r="X53" s="603"/>
      <c r="Y53" s="603"/>
      <c r="Z53" s="603"/>
      <c r="AA53" s="603"/>
      <c r="AB53" s="603"/>
      <c r="AC53" s="603"/>
      <c r="AD53" s="603"/>
      <c r="AE53" s="603"/>
      <c r="AF53" s="603"/>
      <c r="AG53" s="603"/>
      <c r="AH53" s="603"/>
      <c r="AI53" s="603"/>
      <c r="AJ53" s="603"/>
      <c r="AK53" s="603"/>
      <c r="AL53" s="603"/>
      <c r="AM53" s="603"/>
      <c r="AN53" s="603"/>
      <c r="AO53" s="603"/>
      <c r="AP53" s="603"/>
      <c r="AQ53" s="603"/>
      <c r="AR53" s="603"/>
      <c r="AS53" s="603"/>
      <c r="AT53" s="603"/>
      <c r="AU53" s="603"/>
      <c r="AV53" s="603"/>
      <c r="AW53" s="603"/>
      <c r="AX53" s="603"/>
      <c r="AY53" s="603"/>
      <c r="AZ53" s="603"/>
      <c r="BA53" s="603"/>
      <c r="BB53" s="603"/>
      <c r="BC53" s="603"/>
      <c r="BD53" s="603"/>
      <c r="BE53" s="603"/>
      <c r="BF53" s="603"/>
      <c r="BG53" s="603"/>
      <c r="BH53" s="603"/>
      <c r="BI53" s="603"/>
      <c r="BJ53" s="603"/>
      <c r="BK53" s="603"/>
      <c r="BL53" s="603"/>
      <c r="BM53" s="603"/>
      <c r="BN53" s="603"/>
      <c r="BO53" s="603"/>
      <c r="BP53" s="603"/>
      <c r="BQ53" s="603"/>
      <c r="BR53" s="603"/>
      <c r="BS53" s="603"/>
      <c r="BT53" s="603"/>
      <c r="BU53" s="603"/>
      <c r="BV53" s="603"/>
      <c r="BW53" s="603"/>
      <c r="BX53" s="603"/>
      <c r="BY53" s="603"/>
      <c r="BZ53" s="603"/>
      <c r="CA53" s="603"/>
      <c r="CB53" s="603"/>
      <c r="CC53" s="603"/>
      <c r="CD53" s="603"/>
      <c r="CE53" s="603"/>
      <c r="CF53" s="603"/>
      <c r="CG53" s="603"/>
      <c r="CH53" s="603"/>
      <c r="CI53" s="603"/>
      <c r="CJ53" s="603"/>
      <c r="CK53" s="603"/>
      <c r="CL53" s="603"/>
      <c r="CM53" s="603"/>
      <c r="CN53" s="603"/>
      <c r="CO53" s="603"/>
      <c r="CP53" s="603"/>
      <c r="CQ53" s="603"/>
      <c r="CR53" s="603"/>
      <c r="CS53" s="603"/>
      <c r="CT53" s="603"/>
      <c r="CU53" s="603"/>
      <c r="CV53" s="603"/>
      <c r="CW53" s="603"/>
      <c r="CX53" s="603"/>
      <c r="CY53" s="603"/>
      <c r="CZ53" s="603"/>
      <c r="DA53" s="603"/>
      <c r="DB53" s="603"/>
      <c r="DC53" s="603"/>
      <c r="DD53" s="603"/>
      <c r="DE53" s="603"/>
      <c r="DF53" s="603"/>
      <c r="DG53" s="603"/>
      <c r="DH53" s="603"/>
      <c r="DI53" s="603"/>
      <c r="DJ53" s="603"/>
      <c r="DK53" s="603"/>
      <c r="DL53" s="603"/>
      <c r="DM53" s="603"/>
      <c r="DN53" s="603"/>
      <c r="DO53" s="603"/>
      <c r="DP53" s="603"/>
      <c r="DQ53" s="603"/>
      <c r="DR53" s="603"/>
      <c r="DS53" s="603"/>
      <c r="DT53" s="603"/>
      <c r="DU53" s="603"/>
      <c r="DV53" s="603"/>
      <c r="DW53" s="603"/>
      <c r="DX53" s="603"/>
      <c r="DY53" s="603"/>
      <c r="DZ53" s="603"/>
      <c r="EA53" s="603"/>
      <c r="EB53" s="603"/>
    </row>
    <row r="54" spans="1:132" s="605" customFormat="1" ht="20.100000000000001" customHeight="1">
      <c r="A54" s="687" t="s">
        <v>37</v>
      </c>
      <c r="B54" s="688">
        <f>SUM(B55:B60)</f>
        <v>33760000</v>
      </c>
      <c r="C54" s="689">
        <f t="shared" si="5"/>
        <v>3.8725037778706141E-3</v>
      </c>
      <c r="D54" s="688">
        <f>SUM(D55:D60)</f>
        <v>33960000</v>
      </c>
      <c r="E54" s="748">
        <f t="shared" si="22"/>
        <v>5.8297616887494352E-3</v>
      </c>
      <c r="F54" s="688">
        <f>SUM(F55:F60)</f>
        <v>-200000</v>
      </c>
      <c r="G54" s="690">
        <f t="shared" si="24"/>
        <v>-5.8892815076560662E-3</v>
      </c>
      <c r="H54" s="669"/>
      <c r="I54" s="629"/>
      <c r="J54" s="603"/>
      <c r="K54" s="603"/>
      <c r="L54" s="603"/>
      <c r="M54" s="603"/>
      <c r="N54" s="603"/>
      <c r="O54" s="603"/>
      <c r="P54" s="603"/>
      <c r="Q54" s="603"/>
      <c r="R54" s="603"/>
      <c r="S54" s="603"/>
      <c r="T54" s="603"/>
      <c r="U54" s="603"/>
      <c r="V54" s="603"/>
      <c r="W54" s="603"/>
      <c r="X54" s="603"/>
      <c r="Y54" s="603"/>
      <c r="Z54" s="603"/>
      <c r="AA54" s="603"/>
      <c r="AB54" s="603"/>
      <c r="AC54" s="603"/>
      <c r="AD54" s="603"/>
      <c r="AE54" s="603"/>
      <c r="AF54" s="603"/>
      <c r="AG54" s="603"/>
      <c r="AH54" s="603"/>
      <c r="AI54" s="603"/>
      <c r="AJ54" s="603"/>
      <c r="AK54" s="603"/>
      <c r="AL54" s="603"/>
      <c r="AM54" s="603"/>
      <c r="AN54" s="603"/>
      <c r="AO54" s="603"/>
      <c r="AP54" s="603"/>
      <c r="AQ54" s="603"/>
      <c r="AR54" s="603"/>
      <c r="AS54" s="603"/>
      <c r="AT54" s="603"/>
      <c r="AU54" s="603"/>
      <c r="AV54" s="603"/>
      <c r="AW54" s="603"/>
      <c r="AX54" s="603"/>
      <c r="AY54" s="603"/>
      <c r="AZ54" s="603"/>
      <c r="BA54" s="603"/>
      <c r="BB54" s="603"/>
      <c r="BC54" s="603"/>
      <c r="BD54" s="603"/>
      <c r="BE54" s="603"/>
      <c r="BF54" s="603"/>
      <c r="BG54" s="603"/>
      <c r="BH54" s="603"/>
      <c r="BI54" s="603"/>
      <c r="BJ54" s="603"/>
      <c r="BK54" s="603"/>
      <c r="BL54" s="603"/>
      <c r="BM54" s="603"/>
      <c r="BN54" s="603"/>
      <c r="BO54" s="603"/>
      <c r="BP54" s="603"/>
      <c r="BQ54" s="603"/>
      <c r="BR54" s="603"/>
      <c r="BS54" s="603"/>
      <c r="BT54" s="603"/>
      <c r="BU54" s="603"/>
      <c r="BV54" s="603"/>
      <c r="BW54" s="603"/>
      <c r="BX54" s="603"/>
      <c r="BY54" s="603"/>
      <c r="BZ54" s="603"/>
      <c r="CA54" s="603"/>
      <c r="CB54" s="603"/>
      <c r="CC54" s="603"/>
      <c r="CD54" s="603"/>
      <c r="CE54" s="603"/>
      <c r="CF54" s="603"/>
      <c r="CG54" s="603"/>
      <c r="CH54" s="603"/>
      <c r="CI54" s="603"/>
      <c r="CJ54" s="603"/>
      <c r="CK54" s="603"/>
      <c r="CL54" s="603"/>
      <c r="CM54" s="603"/>
      <c r="CN54" s="603"/>
      <c r="CO54" s="603"/>
      <c r="CP54" s="603"/>
      <c r="CQ54" s="603"/>
      <c r="CR54" s="603"/>
      <c r="CS54" s="603"/>
      <c r="CT54" s="603"/>
      <c r="CU54" s="603"/>
      <c r="CV54" s="603"/>
      <c r="CW54" s="603"/>
      <c r="CX54" s="603"/>
      <c r="CY54" s="603"/>
      <c r="CZ54" s="603"/>
      <c r="DA54" s="603"/>
      <c r="DB54" s="603"/>
      <c r="DC54" s="603"/>
      <c r="DD54" s="603"/>
      <c r="DE54" s="603"/>
      <c r="DF54" s="603"/>
      <c r="DG54" s="603"/>
      <c r="DH54" s="603"/>
      <c r="DI54" s="603"/>
      <c r="DJ54" s="603"/>
      <c r="DK54" s="603"/>
      <c r="DL54" s="603"/>
      <c r="DM54" s="603"/>
      <c r="DN54" s="603"/>
      <c r="DO54" s="603"/>
      <c r="DP54" s="603"/>
      <c r="DQ54" s="603"/>
      <c r="DR54" s="603"/>
      <c r="DS54" s="603"/>
      <c r="DT54" s="603"/>
      <c r="DU54" s="603"/>
      <c r="DV54" s="603"/>
      <c r="DW54" s="603"/>
      <c r="DX54" s="603"/>
      <c r="DY54" s="603"/>
      <c r="DZ54" s="603"/>
      <c r="EA54" s="603"/>
      <c r="EB54" s="603"/>
    </row>
    <row r="55" spans="1:132" s="605" customFormat="1" ht="20.100000000000001" customHeight="1">
      <c r="A55" s="684" t="s">
        <v>22</v>
      </c>
      <c r="B55" s="685">
        <f>'예산세입(마두)'!P63</f>
        <v>3500000</v>
      </c>
      <c r="C55" s="686">
        <f t="shared" si="5"/>
        <v>4.0147402910388475E-4</v>
      </c>
      <c r="D55" s="685">
        <f>'예산세입(마두)'!Q63</f>
        <v>3500000</v>
      </c>
      <c r="E55" s="676">
        <f t="shared" si="22"/>
        <v>6.0082938488289237E-4</v>
      </c>
      <c r="F55" s="685">
        <f t="shared" ref="F55:F60" si="25">+B55-D55</f>
        <v>0</v>
      </c>
      <c r="G55" s="640">
        <f t="shared" si="24"/>
        <v>0</v>
      </c>
      <c r="H55" s="670"/>
      <c r="I55" s="629"/>
      <c r="J55" s="603"/>
      <c r="K55" s="603"/>
      <c r="L55" s="603"/>
      <c r="M55" s="603"/>
      <c r="N55" s="603"/>
      <c r="O55" s="603"/>
      <c r="P55" s="603"/>
      <c r="Q55" s="603"/>
      <c r="R55" s="603"/>
      <c r="S55" s="603"/>
      <c r="T55" s="603"/>
      <c r="U55" s="603"/>
      <c r="V55" s="603"/>
      <c r="W55" s="603"/>
      <c r="X55" s="603"/>
      <c r="Y55" s="603"/>
      <c r="Z55" s="603"/>
      <c r="AA55" s="603"/>
      <c r="AB55" s="603"/>
      <c r="AC55" s="603"/>
      <c r="AD55" s="603"/>
      <c r="AE55" s="603"/>
      <c r="AF55" s="603"/>
      <c r="AG55" s="603"/>
      <c r="AH55" s="603"/>
      <c r="AI55" s="603"/>
      <c r="AJ55" s="603"/>
      <c r="AK55" s="603"/>
      <c r="AL55" s="603"/>
      <c r="AM55" s="603"/>
      <c r="AN55" s="603"/>
      <c r="AO55" s="603"/>
      <c r="AP55" s="603"/>
      <c r="AQ55" s="603"/>
      <c r="AR55" s="603"/>
      <c r="AS55" s="603"/>
      <c r="AT55" s="603"/>
      <c r="AU55" s="603"/>
      <c r="AV55" s="603"/>
      <c r="AW55" s="603"/>
      <c r="AX55" s="603"/>
      <c r="AY55" s="603"/>
      <c r="AZ55" s="603"/>
      <c r="BA55" s="603"/>
      <c r="BB55" s="603"/>
      <c r="BC55" s="603"/>
      <c r="BD55" s="603"/>
      <c r="BE55" s="603"/>
      <c r="BF55" s="603"/>
      <c r="BG55" s="603"/>
      <c r="BH55" s="603"/>
      <c r="BI55" s="603"/>
      <c r="BJ55" s="603"/>
      <c r="BK55" s="603"/>
      <c r="BL55" s="603"/>
      <c r="BM55" s="603"/>
      <c r="BN55" s="603"/>
      <c r="BO55" s="603"/>
      <c r="BP55" s="603"/>
      <c r="BQ55" s="603"/>
      <c r="BR55" s="603"/>
      <c r="BS55" s="603"/>
      <c r="BT55" s="603"/>
      <c r="BU55" s="603"/>
      <c r="BV55" s="603"/>
      <c r="BW55" s="603"/>
      <c r="BX55" s="603"/>
      <c r="BY55" s="603"/>
      <c r="BZ55" s="603"/>
      <c r="CA55" s="603"/>
      <c r="CB55" s="603"/>
      <c r="CC55" s="603"/>
      <c r="CD55" s="603"/>
      <c r="CE55" s="603"/>
      <c r="CF55" s="603"/>
      <c r="CG55" s="603"/>
      <c r="CH55" s="603"/>
      <c r="CI55" s="603"/>
      <c r="CJ55" s="603"/>
      <c r="CK55" s="603"/>
      <c r="CL55" s="603"/>
      <c r="CM55" s="603"/>
      <c r="CN55" s="603"/>
      <c r="CO55" s="603"/>
      <c r="CP55" s="603"/>
      <c r="CQ55" s="603"/>
      <c r="CR55" s="603"/>
      <c r="CS55" s="603"/>
      <c r="CT55" s="603"/>
      <c r="CU55" s="603"/>
      <c r="CV55" s="603"/>
      <c r="CW55" s="603"/>
      <c r="CX55" s="603"/>
      <c r="CY55" s="603"/>
      <c r="CZ55" s="603"/>
      <c r="DA55" s="603"/>
      <c r="DB55" s="603"/>
      <c r="DC55" s="603"/>
      <c r="DD55" s="603"/>
      <c r="DE55" s="603"/>
      <c r="DF55" s="603"/>
      <c r="DG55" s="603"/>
      <c r="DH55" s="603"/>
      <c r="DI55" s="603"/>
      <c r="DJ55" s="603"/>
      <c r="DK55" s="603"/>
      <c r="DL55" s="603"/>
      <c r="DM55" s="603"/>
      <c r="DN55" s="603"/>
      <c r="DO55" s="603"/>
      <c r="DP55" s="603"/>
      <c r="DQ55" s="603"/>
      <c r="DR55" s="603"/>
      <c r="DS55" s="603"/>
      <c r="DT55" s="603"/>
      <c r="DU55" s="603"/>
      <c r="DV55" s="603"/>
      <c r="DW55" s="603"/>
      <c r="DX55" s="603"/>
      <c r="DY55" s="603"/>
      <c r="DZ55" s="603"/>
      <c r="EA55" s="603"/>
      <c r="EB55" s="603"/>
    </row>
    <row r="56" spans="1:132" s="605" customFormat="1" ht="20.100000000000001" customHeight="1">
      <c r="A56" s="684" t="s">
        <v>24</v>
      </c>
      <c r="B56" s="685">
        <f>'예산세입(성사)'!P12</f>
        <v>4000000</v>
      </c>
      <c r="C56" s="686">
        <f t="shared" si="5"/>
        <v>4.588274618330111E-4</v>
      </c>
      <c r="D56" s="685">
        <f>'예산세입(성사)'!Q12</f>
        <v>2000000</v>
      </c>
      <c r="E56" s="676">
        <f t="shared" si="22"/>
        <v>3.4333107707593846E-4</v>
      </c>
      <c r="F56" s="685">
        <f t="shared" si="25"/>
        <v>2000000</v>
      </c>
      <c r="G56" s="640">
        <f t="shared" si="24"/>
        <v>1</v>
      </c>
      <c r="H56" s="670"/>
      <c r="I56" s="629"/>
      <c r="J56" s="603"/>
      <c r="K56" s="603"/>
      <c r="L56" s="603"/>
      <c r="M56" s="603"/>
      <c r="N56" s="603"/>
      <c r="O56" s="603"/>
      <c r="P56" s="603"/>
      <c r="Q56" s="603"/>
      <c r="R56" s="603"/>
      <c r="S56" s="603"/>
      <c r="T56" s="603"/>
      <c r="U56" s="603"/>
      <c r="V56" s="603"/>
      <c r="W56" s="603"/>
      <c r="X56" s="603"/>
      <c r="Y56" s="603"/>
      <c r="Z56" s="603"/>
      <c r="AA56" s="603"/>
      <c r="AB56" s="603"/>
      <c r="AC56" s="603"/>
      <c r="AD56" s="603"/>
      <c r="AE56" s="603"/>
      <c r="AF56" s="603"/>
      <c r="AG56" s="603"/>
      <c r="AH56" s="603"/>
      <c r="AI56" s="603"/>
      <c r="AJ56" s="603"/>
      <c r="AK56" s="603"/>
      <c r="AL56" s="603"/>
      <c r="AM56" s="603"/>
      <c r="AN56" s="603"/>
      <c r="AO56" s="603"/>
      <c r="AP56" s="603"/>
      <c r="AQ56" s="603"/>
      <c r="AR56" s="603"/>
      <c r="AS56" s="603"/>
      <c r="AT56" s="603"/>
      <c r="AU56" s="603"/>
      <c r="AV56" s="603"/>
      <c r="AW56" s="603"/>
      <c r="AX56" s="603"/>
      <c r="AY56" s="603"/>
      <c r="AZ56" s="603"/>
      <c r="BA56" s="603"/>
      <c r="BB56" s="603"/>
      <c r="BC56" s="603"/>
      <c r="BD56" s="603"/>
      <c r="BE56" s="603"/>
      <c r="BF56" s="603"/>
      <c r="BG56" s="603"/>
      <c r="BH56" s="603"/>
      <c r="BI56" s="603"/>
      <c r="BJ56" s="603"/>
      <c r="BK56" s="603"/>
      <c r="BL56" s="603"/>
      <c r="BM56" s="603"/>
      <c r="BN56" s="603"/>
      <c r="BO56" s="603"/>
      <c r="BP56" s="603"/>
      <c r="BQ56" s="603"/>
      <c r="BR56" s="603"/>
      <c r="BS56" s="603"/>
      <c r="BT56" s="603"/>
      <c r="BU56" s="603"/>
      <c r="BV56" s="603"/>
      <c r="BW56" s="603"/>
      <c r="BX56" s="603"/>
      <c r="BY56" s="603"/>
      <c r="BZ56" s="603"/>
      <c r="CA56" s="603"/>
      <c r="CB56" s="603"/>
      <c r="CC56" s="603"/>
      <c r="CD56" s="603"/>
      <c r="CE56" s="603"/>
      <c r="CF56" s="603"/>
      <c r="CG56" s="603"/>
      <c r="CH56" s="603"/>
      <c r="CI56" s="603"/>
      <c r="CJ56" s="603"/>
      <c r="CK56" s="603"/>
      <c r="CL56" s="603"/>
      <c r="CM56" s="603"/>
      <c r="CN56" s="603"/>
      <c r="CO56" s="603"/>
      <c r="CP56" s="603"/>
      <c r="CQ56" s="603"/>
      <c r="CR56" s="603"/>
      <c r="CS56" s="603"/>
      <c r="CT56" s="603"/>
      <c r="CU56" s="603"/>
      <c r="CV56" s="603"/>
      <c r="CW56" s="603"/>
      <c r="CX56" s="603"/>
      <c r="CY56" s="603"/>
      <c r="CZ56" s="603"/>
      <c r="DA56" s="603"/>
      <c r="DB56" s="603"/>
      <c r="DC56" s="603"/>
      <c r="DD56" s="603"/>
      <c r="DE56" s="603"/>
      <c r="DF56" s="603"/>
      <c r="DG56" s="603"/>
      <c r="DH56" s="603"/>
      <c r="DI56" s="603"/>
      <c r="DJ56" s="603"/>
      <c r="DK56" s="603"/>
      <c r="DL56" s="603"/>
      <c r="DM56" s="603"/>
      <c r="DN56" s="603"/>
      <c r="DO56" s="603"/>
      <c r="DP56" s="603"/>
      <c r="DQ56" s="603"/>
      <c r="DR56" s="603"/>
      <c r="DS56" s="603"/>
      <c r="DT56" s="603"/>
      <c r="DU56" s="603"/>
      <c r="DV56" s="603"/>
      <c r="DW56" s="603"/>
      <c r="DX56" s="603"/>
      <c r="DY56" s="603"/>
      <c r="DZ56" s="603"/>
      <c r="EA56" s="603"/>
      <c r="EB56" s="603"/>
    </row>
    <row r="57" spans="1:132" s="605" customFormat="1" ht="20.100000000000001" customHeight="1">
      <c r="A57" s="684" t="s">
        <v>25</v>
      </c>
      <c r="B57" s="685">
        <f>'예산세입(탄현)'!P21</f>
        <v>1200000</v>
      </c>
      <c r="C57" s="686">
        <f t="shared" si="5"/>
        <v>1.3764823854990334E-4</v>
      </c>
      <c r="D57" s="685">
        <f>'예산세입(탄현)'!Q21</f>
        <v>3600000</v>
      </c>
      <c r="E57" s="686">
        <f t="shared" si="22"/>
        <v>6.1799593873668927E-4</v>
      </c>
      <c r="F57" s="685">
        <f t="shared" si="25"/>
        <v>-2400000</v>
      </c>
      <c r="G57" s="640">
        <f t="shared" si="24"/>
        <v>-0.66666666666666663</v>
      </c>
      <c r="H57" s="670"/>
      <c r="I57" s="629"/>
      <c r="J57" s="603"/>
      <c r="K57" s="603"/>
      <c r="L57" s="603"/>
      <c r="M57" s="603"/>
      <c r="N57" s="603"/>
      <c r="O57" s="603"/>
      <c r="P57" s="603"/>
      <c r="Q57" s="603"/>
      <c r="R57" s="603"/>
      <c r="S57" s="603"/>
      <c r="T57" s="603"/>
      <c r="U57" s="603"/>
      <c r="V57" s="603"/>
      <c r="W57" s="603"/>
      <c r="X57" s="603"/>
      <c r="Y57" s="603"/>
      <c r="Z57" s="603"/>
      <c r="AA57" s="603"/>
      <c r="AB57" s="603"/>
      <c r="AC57" s="603"/>
      <c r="AD57" s="603"/>
      <c r="AE57" s="603"/>
      <c r="AF57" s="603"/>
      <c r="AG57" s="603"/>
      <c r="AH57" s="603"/>
      <c r="AI57" s="603"/>
      <c r="AJ57" s="603"/>
      <c r="AK57" s="603"/>
      <c r="AL57" s="603"/>
      <c r="AM57" s="603"/>
      <c r="AN57" s="603"/>
      <c r="AO57" s="603"/>
      <c r="AP57" s="603"/>
      <c r="AQ57" s="603"/>
      <c r="AR57" s="603"/>
      <c r="AS57" s="603"/>
      <c r="AT57" s="603"/>
      <c r="AU57" s="603"/>
      <c r="AV57" s="603"/>
      <c r="AW57" s="603"/>
      <c r="AX57" s="603"/>
      <c r="AY57" s="603"/>
      <c r="AZ57" s="603"/>
      <c r="BA57" s="603"/>
      <c r="BB57" s="603"/>
      <c r="BC57" s="603"/>
      <c r="BD57" s="603"/>
      <c r="BE57" s="603"/>
      <c r="BF57" s="603"/>
      <c r="BG57" s="603"/>
      <c r="BH57" s="603"/>
      <c r="BI57" s="603"/>
      <c r="BJ57" s="603"/>
      <c r="BK57" s="603"/>
      <c r="BL57" s="603"/>
      <c r="BM57" s="603"/>
      <c r="BN57" s="603"/>
      <c r="BO57" s="603"/>
      <c r="BP57" s="603"/>
      <c r="BQ57" s="603"/>
      <c r="BR57" s="603"/>
      <c r="BS57" s="603"/>
      <c r="BT57" s="603"/>
      <c r="BU57" s="603"/>
      <c r="BV57" s="603"/>
      <c r="BW57" s="603"/>
      <c r="BX57" s="603"/>
      <c r="BY57" s="603"/>
      <c r="BZ57" s="603"/>
      <c r="CA57" s="603"/>
      <c r="CB57" s="603"/>
      <c r="CC57" s="603"/>
      <c r="CD57" s="603"/>
      <c r="CE57" s="603"/>
      <c r="CF57" s="603"/>
      <c r="CG57" s="603"/>
      <c r="CH57" s="603"/>
      <c r="CI57" s="603"/>
      <c r="CJ57" s="603"/>
      <c r="CK57" s="603"/>
      <c r="CL57" s="603"/>
      <c r="CM57" s="603"/>
      <c r="CN57" s="603"/>
      <c r="CO57" s="603"/>
      <c r="CP57" s="603"/>
      <c r="CQ57" s="603"/>
      <c r="CR57" s="603"/>
      <c r="CS57" s="603"/>
      <c r="CT57" s="603"/>
      <c r="CU57" s="603"/>
      <c r="CV57" s="603"/>
      <c r="CW57" s="603"/>
      <c r="CX57" s="603"/>
      <c r="CY57" s="603"/>
      <c r="CZ57" s="603"/>
      <c r="DA57" s="603"/>
      <c r="DB57" s="603"/>
      <c r="DC57" s="603"/>
      <c r="DD57" s="603"/>
      <c r="DE57" s="603"/>
      <c r="DF57" s="603"/>
      <c r="DG57" s="603"/>
      <c r="DH57" s="603"/>
      <c r="DI57" s="603"/>
      <c r="DJ57" s="603"/>
      <c r="DK57" s="603"/>
      <c r="DL57" s="603"/>
      <c r="DM57" s="603"/>
      <c r="DN57" s="603"/>
      <c r="DO57" s="603"/>
      <c r="DP57" s="603"/>
      <c r="DQ57" s="603"/>
      <c r="DR57" s="603"/>
      <c r="DS57" s="603"/>
      <c r="DT57" s="603"/>
      <c r="DU57" s="603"/>
      <c r="DV57" s="603"/>
      <c r="DW57" s="603"/>
      <c r="DX57" s="603"/>
      <c r="DY57" s="603"/>
      <c r="DZ57" s="603"/>
      <c r="EA57" s="603"/>
      <c r="EB57" s="603"/>
    </row>
    <row r="58" spans="1:132" s="605" customFormat="1" ht="20.100000000000001" customHeight="1">
      <c r="A58" s="677" t="s">
        <v>2127</v>
      </c>
      <c r="B58" s="675">
        <f>'예산세입(일산서구)'!P27</f>
        <v>3500000</v>
      </c>
      <c r="C58" s="686">
        <f t="shared" si="5"/>
        <v>4.0147402910388475E-4</v>
      </c>
      <c r="D58" s="675">
        <f>'예산세입(일산서구)'!Q27</f>
        <v>0</v>
      </c>
      <c r="E58" s="686">
        <f t="shared" si="22"/>
        <v>0</v>
      </c>
      <c r="F58" s="675">
        <f t="shared" si="25"/>
        <v>3500000</v>
      </c>
      <c r="G58" s="637">
        <v>1</v>
      </c>
      <c r="H58" s="602"/>
      <c r="I58" s="629"/>
      <c r="J58" s="603"/>
      <c r="K58" s="603"/>
      <c r="L58" s="603"/>
      <c r="M58" s="603"/>
      <c r="N58" s="603"/>
      <c r="O58" s="603"/>
      <c r="P58" s="603"/>
      <c r="Q58" s="603"/>
      <c r="R58" s="603"/>
      <c r="S58" s="603"/>
      <c r="T58" s="603"/>
      <c r="U58" s="603"/>
      <c r="V58" s="603"/>
      <c r="W58" s="603"/>
      <c r="X58" s="603"/>
      <c r="Y58" s="603"/>
      <c r="Z58" s="603"/>
      <c r="AA58" s="603"/>
      <c r="AB58" s="603"/>
      <c r="AC58" s="603"/>
      <c r="AD58" s="603"/>
      <c r="AE58" s="603"/>
      <c r="AF58" s="603"/>
      <c r="AG58" s="603"/>
      <c r="AH58" s="603"/>
      <c r="AI58" s="603"/>
      <c r="AJ58" s="603"/>
      <c r="AK58" s="603"/>
      <c r="AL58" s="603"/>
      <c r="AM58" s="603"/>
      <c r="AN58" s="603"/>
      <c r="AO58" s="603"/>
      <c r="AP58" s="603"/>
      <c r="AQ58" s="603"/>
      <c r="AR58" s="603"/>
      <c r="AS58" s="603"/>
      <c r="AT58" s="603"/>
      <c r="AU58" s="603"/>
      <c r="AV58" s="603"/>
      <c r="AW58" s="603"/>
      <c r="AX58" s="603"/>
      <c r="AY58" s="603"/>
      <c r="AZ58" s="603"/>
      <c r="BA58" s="603"/>
      <c r="BB58" s="603"/>
      <c r="BC58" s="603"/>
      <c r="BD58" s="603"/>
      <c r="BE58" s="603"/>
      <c r="BF58" s="603"/>
      <c r="BG58" s="603"/>
      <c r="BH58" s="603"/>
      <c r="BI58" s="603"/>
      <c r="BJ58" s="603"/>
      <c r="BK58" s="603"/>
      <c r="BL58" s="603"/>
      <c r="BM58" s="603"/>
      <c r="BN58" s="603"/>
      <c r="BO58" s="603"/>
      <c r="BP58" s="603"/>
      <c r="BQ58" s="603"/>
      <c r="BR58" s="603"/>
      <c r="BS58" s="603"/>
      <c r="BT58" s="603"/>
      <c r="BU58" s="603"/>
      <c r="BV58" s="603"/>
      <c r="BW58" s="603"/>
      <c r="BX58" s="603"/>
      <c r="BY58" s="603"/>
      <c r="BZ58" s="603"/>
      <c r="CA58" s="603"/>
      <c r="CB58" s="603"/>
      <c r="CC58" s="603"/>
      <c r="CD58" s="603"/>
      <c r="CE58" s="603"/>
      <c r="CF58" s="603"/>
      <c r="CG58" s="603"/>
      <c r="CH58" s="603"/>
      <c r="CI58" s="603"/>
      <c r="CJ58" s="603"/>
      <c r="CK58" s="603"/>
      <c r="CL58" s="603"/>
      <c r="CM58" s="603"/>
      <c r="CN58" s="603"/>
      <c r="CO58" s="603"/>
      <c r="CP58" s="603"/>
      <c r="CQ58" s="603"/>
      <c r="CR58" s="603"/>
      <c r="CS58" s="603"/>
      <c r="CT58" s="603"/>
      <c r="CU58" s="603"/>
      <c r="CV58" s="603"/>
      <c r="CW58" s="603"/>
      <c r="CX58" s="603"/>
      <c r="CY58" s="603"/>
      <c r="CZ58" s="603"/>
      <c r="DA58" s="603"/>
      <c r="DB58" s="603"/>
      <c r="DC58" s="603"/>
      <c r="DD58" s="603"/>
      <c r="DE58" s="603"/>
      <c r="DF58" s="603"/>
      <c r="DG58" s="603"/>
      <c r="DH58" s="603"/>
      <c r="DI58" s="603"/>
      <c r="DJ58" s="603"/>
      <c r="DK58" s="603"/>
      <c r="DL58" s="603"/>
      <c r="DM58" s="603"/>
      <c r="DN58" s="603"/>
      <c r="DO58" s="603"/>
      <c r="DP58" s="603"/>
      <c r="DQ58" s="603"/>
      <c r="DR58" s="603"/>
      <c r="DS58" s="603"/>
      <c r="DT58" s="603"/>
      <c r="DU58" s="603"/>
      <c r="DV58" s="603"/>
      <c r="DW58" s="603"/>
      <c r="DX58" s="603"/>
      <c r="DY58" s="603"/>
      <c r="DZ58" s="603"/>
      <c r="EA58" s="603"/>
      <c r="EB58" s="603"/>
    </row>
    <row r="59" spans="1:132" s="605" customFormat="1" ht="20.100000000000001" customHeight="1">
      <c r="A59" s="677" t="s">
        <v>26</v>
      </c>
      <c r="B59" s="675">
        <f>'예산세입(토당)'!P117</f>
        <v>21200000</v>
      </c>
      <c r="C59" s="686">
        <f t="shared" si="5"/>
        <v>2.431785547714959E-3</v>
      </c>
      <c r="D59" s="675">
        <f>'예산세입(토당)'!Q117</f>
        <v>24500000</v>
      </c>
      <c r="E59" s="686">
        <f t="shared" si="22"/>
        <v>4.2058056941802462E-3</v>
      </c>
      <c r="F59" s="675">
        <f t="shared" si="25"/>
        <v>-3300000</v>
      </c>
      <c r="G59" s="678">
        <f t="shared" si="24"/>
        <v>-0.13469387755102041</v>
      </c>
      <c r="H59" s="670"/>
      <c r="I59" s="629"/>
      <c r="J59" s="603"/>
      <c r="K59" s="603"/>
      <c r="L59" s="603"/>
      <c r="M59" s="603"/>
      <c r="N59" s="603"/>
      <c r="O59" s="603"/>
      <c r="P59" s="603"/>
      <c r="Q59" s="603"/>
      <c r="R59" s="603"/>
      <c r="S59" s="603"/>
      <c r="T59" s="603"/>
      <c r="U59" s="603"/>
      <c r="V59" s="603"/>
      <c r="W59" s="603"/>
      <c r="X59" s="603"/>
      <c r="Y59" s="603"/>
      <c r="Z59" s="603"/>
      <c r="AA59" s="603"/>
      <c r="AB59" s="603"/>
      <c r="AC59" s="603"/>
      <c r="AD59" s="603"/>
      <c r="AE59" s="603"/>
      <c r="AF59" s="603"/>
      <c r="AG59" s="603"/>
      <c r="AH59" s="603"/>
      <c r="AI59" s="603"/>
      <c r="AJ59" s="603"/>
      <c r="AK59" s="603"/>
      <c r="AL59" s="603"/>
      <c r="AM59" s="603"/>
      <c r="AN59" s="603"/>
      <c r="AO59" s="603"/>
      <c r="AP59" s="603"/>
      <c r="AQ59" s="603"/>
      <c r="AR59" s="603"/>
      <c r="AS59" s="603"/>
      <c r="AT59" s="603"/>
      <c r="AU59" s="603"/>
      <c r="AV59" s="603"/>
      <c r="AW59" s="603"/>
      <c r="AX59" s="603"/>
      <c r="AY59" s="603"/>
      <c r="AZ59" s="603"/>
      <c r="BA59" s="603"/>
      <c r="BB59" s="603"/>
      <c r="BC59" s="603"/>
      <c r="BD59" s="603"/>
      <c r="BE59" s="603"/>
      <c r="BF59" s="603"/>
      <c r="BG59" s="603"/>
      <c r="BH59" s="603"/>
      <c r="BI59" s="603"/>
      <c r="BJ59" s="603"/>
      <c r="BK59" s="603"/>
      <c r="BL59" s="603"/>
      <c r="BM59" s="603"/>
      <c r="BN59" s="603"/>
      <c r="BO59" s="603"/>
      <c r="BP59" s="603"/>
      <c r="BQ59" s="603"/>
      <c r="BR59" s="603"/>
      <c r="BS59" s="603"/>
      <c r="BT59" s="603"/>
      <c r="BU59" s="603"/>
      <c r="BV59" s="603"/>
      <c r="BW59" s="603"/>
      <c r="BX59" s="603"/>
      <c r="BY59" s="603"/>
      <c r="BZ59" s="603"/>
      <c r="CA59" s="603"/>
      <c r="CB59" s="603"/>
      <c r="CC59" s="603"/>
      <c r="CD59" s="603"/>
      <c r="CE59" s="603"/>
      <c r="CF59" s="603"/>
      <c r="CG59" s="603"/>
      <c r="CH59" s="603"/>
      <c r="CI59" s="603"/>
      <c r="CJ59" s="603"/>
      <c r="CK59" s="603"/>
      <c r="CL59" s="603"/>
      <c r="CM59" s="603"/>
      <c r="CN59" s="603"/>
      <c r="CO59" s="603"/>
      <c r="CP59" s="603"/>
      <c r="CQ59" s="603"/>
      <c r="CR59" s="603"/>
      <c r="CS59" s="603"/>
      <c r="CT59" s="603"/>
      <c r="CU59" s="603"/>
      <c r="CV59" s="603"/>
      <c r="CW59" s="603"/>
      <c r="CX59" s="603"/>
      <c r="CY59" s="603"/>
      <c r="CZ59" s="603"/>
      <c r="DA59" s="603"/>
      <c r="DB59" s="603"/>
      <c r="DC59" s="603"/>
      <c r="DD59" s="603"/>
      <c r="DE59" s="603"/>
      <c r="DF59" s="603"/>
      <c r="DG59" s="603"/>
      <c r="DH59" s="603"/>
      <c r="DI59" s="603"/>
      <c r="DJ59" s="603"/>
      <c r="DK59" s="603"/>
      <c r="DL59" s="603"/>
      <c r="DM59" s="603"/>
      <c r="DN59" s="603"/>
      <c r="DO59" s="603"/>
      <c r="DP59" s="603"/>
      <c r="DQ59" s="603"/>
      <c r="DR59" s="603"/>
      <c r="DS59" s="603"/>
      <c r="DT59" s="603"/>
      <c r="DU59" s="603"/>
      <c r="DV59" s="603"/>
      <c r="DW59" s="603"/>
      <c r="DX59" s="603"/>
      <c r="DY59" s="603"/>
      <c r="DZ59" s="603"/>
      <c r="EA59" s="603"/>
      <c r="EB59" s="603"/>
    </row>
    <row r="60" spans="1:132" s="605" customFormat="1" ht="20.100000000000001" customHeight="1">
      <c r="A60" s="684" t="s">
        <v>36</v>
      </c>
      <c r="B60" s="685">
        <f>'예산세입(화정)'!P15</f>
        <v>360000</v>
      </c>
      <c r="C60" s="686">
        <f t="shared" si="5"/>
        <v>4.1294471564970999E-5</v>
      </c>
      <c r="D60" s="685">
        <f>'예산세입(화정)'!Q15</f>
        <v>360000</v>
      </c>
      <c r="E60" s="676">
        <f t="shared" si="22"/>
        <v>6.1799593873668933E-5</v>
      </c>
      <c r="F60" s="685">
        <f t="shared" si="25"/>
        <v>0</v>
      </c>
      <c r="G60" s="640">
        <f t="shared" si="24"/>
        <v>0</v>
      </c>
      <c r="H60" s="670"/>
      <c r="I60" s="629"/>
      <c r="J60" s="603"/>
      <c r="K60" s="603"/>
      <c r="L60" s="603"/>
      <c r="M60" s="603"/>
      <c r="N60" s="603"/>
      <c r="O60" s="603"/>
      <c r="P60" s="603"/>
      <c r="Q60" s="603"/>
      <c r="R60" s="603"/>
      <c r="S60" s="603"/>
      <c r="T60" s="603"/>
      <c r="U60" s="603"/>
      <c r="V60" s="603"/>
      <c r="W60" s="603"/>
      <c r="X60" s="603"/>
      <c r="Y60" s="603"/>
      <c r="Z60" s="603"/>
      <c r="AA60" s="603"/>
      <c r="AB60" s="603"/>
      <c r="AC60" s="603"/>
      <c r="AD60" s="603"/>
      <c r="AE60" s="603"/>
      <c r="AF60" s="603"/>
      <c r="AG60" s="603"/>
      <c r="AH60" s="603"/>
      <c r="AI60" s="603"/>
      <c r="AJ60" s="603"/>
      <c r="AK60" s="603"/>
      <c r="AL60" s="603"/>
      <c r="AM60" s="603"/>
      <c r="AN60" s="603"/>
      <c r="AO60" s="603"/>
      <c r="AP60" s="603"/>
      <c r="AQ60" s="603"/>
      <c r="AR60" s="603"/>
      <c r="AS60" s="603"/>
      <c r="AT60" s="603"/>
      <c r="AU60" s="603"/>
      <c r="AV60" s="603"/>
      <c r="AW60" s="603"/>
      <c r="AX60" s="603"/>
      <c r="AY60" s="603"/>
      <c r="AZ60" s="603"/>
      <c r="BA60" s="603"/>
      <c r="BB60" s="603"/>
      <c r="BC60" s="603"/>
      <c r="BD60" s="603"/>
      <c r="BE60" s="603"/>
      <c r="BF60" s="603"/>
      <c r="BG60" s="603"/>
      <c r="BH60" s="603"/>
      <c r="BI60" s="603"/>
      <c r="BJ60" s="603"/>
      <c r="BK60" s="603"/>
      <c r="BL60" s="603"/>
      <c r="BM60" s="603"/>
      <c r="BN60" s="603"/>
      <c r="BO60" s="603"/>
      <c r="BP60" s="603"/>
      <c r="BQ60" s="603"/>
      <c r="BR60" s="603"/>
      <c r="BS60" s="603"/>
      <c r="BT60" s="603"/>
      <c r="BU60" s="603"/>
      <c r="BV60" s="603"/>
      <c r="BW60" s="603"/>
      <c r="BX60" s="603"/>
      <c r="BY60" s="603"/>
      <c r="BZ60" s="603"/>
      <c r="CA60" s="603"/>
      <c r="CB60" s="603"/>
      <c r="CC60" s="603"/>
      <c r="CD60" s="603"/>
      <c r="CE60" s="603"/>
      <c r="CF60" s="603"/>
      <c r="CG60" s="603"/>
      <c r="CH60" s="603"/>
      <c r="CI60" s="603"/>
      <c r="CJ60" s="603"/>
      <c r="CK60" s="603"/>
      <c r="CL60" s="603"/>
      <c r="CM60" s="603"/>
      <c r="CN60" s="603"/>
      <c r="CO60" s="603"/>
      <c r="CP60" s="603"/>
      <c r="CQ60" s="603"/>
      <c r="CR60" s="603"/>
      <c r="CS60" s="603"/>
      <c r="CT60" s="603"/>
      <c r="CU60" s="603"/>
      <c r="CV60" s="603"/>
      <c r="CW60" s="603"/>
      <c r="CX60" s="603"/>
      <c r="CY60" s="603"/>
      <c r="CZ60" s="603"/>
      <c r="DA60" s="603"/>
      <c r="DB60" s="603"/>
      <c r="DC60" s="603"/>
      <c r="DD60" s="603"/>
      <c r="DE60" s="603"/>
      <c r="DF60" s="603"/>
      <c r="DG60" s="603"/>
      <c r="DH60" s="603"/>
      <c r="DI60" s="603"/>
      <c r="DJ60" s="603"/>
      <c r="DK60" s="603"/>
      <c r="DL60" s="603"/>
      <c r="DM60" s="603"/>
      <c r="DN60" s="603"/>
      <c r="DO60" s="603"/>
      <c r="DP60" s="603"/>
      <c r="DQ60" s="603"/>
      <c r="DR60" s="603"/>
      <c r="DS60" s="603"/>
      <c r="DT60" s="603"/>
      <c r="DU60" s="603"/>
      <c r="DV60" s="603"/>
      <c r="DW60" s="603"/>
      <c r="DX60" s="603"/>
      <c r="DY60" s="603"/>
      <c r="DZ60" s="603"/>
      <c r="EA60" s="603"/>
      <c r="EB60" s="603"/>
    </row>
    <row r="61" spans="1:132" s="605" customFormat="1" ht="20.100000000000001" customHeight="1">
      <c r="A61" s="687" t="s">
        <v>38</v>
      </c>
      <c r="B61" s="688">
        <f>SUM(B62:B67)</f>
        <v>220002000</v>
      </c>
      <c r="C61" s="689">
        <f t="shared" si="5"/>
        <v>2.5235739814546528E-2</v>
      </c>
      <c r="D61" s="688">
        <f>SUM(D62:D67)</f>
        <v>143787000</v>
      </c>
      <c r="E61" s="748">
        <f t="shared" si="22"/>
        <v>2.4683272789758983E-2</v>
      </c>
      <c r="F61" s="688">
        <f>SUM(F62:F67)</f>
        <v>76215000</v>
      </c>
      <c r="G61" s="690">
        <f t="shared" si="24"/>
        <v>0.53005487283273178</v>
      </c>
      <c r="H61" s="669"/>
      <c r="I61" s="629"/>
      <c r="J61" s="603"/>
      <c r="K61" s="603"/>
      <c r="L61" s="603"/>
      <c r="M61" s="603"/>
      <c r="N61" s="603"/>
      <c r="O61" s="603"/>
      <c r="P61" s="603"/>
      <c r="Q61" s="603"/>
      <c r="R61" s="603"/>
      <c r="S61" s="603"/>
      <c r="T61" s="603"/>
      <c r="U61" s="603"/>
      <c r="V61" s="603"/>
      <c r="W61" s="603"/>
      <c r="X61" s="603"/>
      <c r="Y61" s="603"/>
      <c r="Z61" s="603"/>
      <c r="AA61" s="603"/>
      <c r="AB61" s="603"/>
      <c r="AC61" s="603"/>
      <c r="AD61" s="603"/>
      <c r="AE61" s="603"/>
      <c r="AF61" s="603"/>
      <c r="AG61" s="603"/>
      <c r="AH61" s="603"/>
      <c r="AI61" s="603"/>
      <c r="AJ61" s="603"/>
      <c r="AK61" s="603"/>
      <c r="AL61" s="603"/>
      <c r="AM61" s="603"/>
      <c r="AN61" s="603"/>
      <c r="AO61" s="603"/>
      <c r="AP61" s="603"/>
      <c r="AQ61" s="603"/>
      <c r="AR61" s="603"/>
      <c r="AS61" s="603"/>
      <c r="AT61" s="603"/>
      <c r="AU61" s="603"/>
      <c r="AV61" s="603"/>
      <c r="AW61" s="603"/>
      <c r="AX61" s="603"/>
      <c r="AY61" s="603"/>
      <c r="AZ61" s="603"/>
      <c r="BA61" s="603"/>
      <c r="BB61" s="603"/>
      <c r="BC61" s="603"/>
      <c r="BD61" s="603"/>
      <c r="BE61" s="603"/>
      <c r="BF61" s="603"/>
      <c r="BG61" s="603"/>
      <c r="BH61" s="603"/>
      <c r="BI61" s="603"/>
      <c r="BJ61" s="603"/>
      <c r="BK61" s="603"/>
      <c r="BL61" s="603"/>
      <c r="BM61" s="603"/>
      <c r="BN61" s="603"/>
      <c r="BO61" s="603"/>
      <c r="BP61" s="603"/>
      <c r="BQ61" s="603"/>
      <c r="BR61" s="603"/>
      <c r="BS61" s="603"/>
      <c r="BT61" s="603"/>
      <c r="BU61" s="603"/>
      <c r="BV61" s="603"/>
      <c r="BW61" s="603"/>
      <c r="BX61" s="603"/>
      <c r="BY61" s="603"/>
      <c r="BZ61" s="603"/>
      <c r="CA61" s="603"/>
      <c r="CB61" s="603"/>
      <c r="CC61" s="603"/>
      <c r="CD61" s="603"/>
      <c r="CE61" s="603"/>
      <c r="CF61" s="603"/>
      <c r="CG61" s="603"/>
      <c r="CH61" s="603"/>
      <c r="CI61" s="603"/>
      <c r="CJ61" s="603"/>
      <c r="CK61" s="603"/>
      <c r="CL61" s="603"/>
      <c r="CM61" s="603"/>
      <c r="CN61" s="603"/>
      <c r="CO61" s="603"/>
      <c r="CP61" s="603"/>
      <c r="CQ61" s="603"/>
      <c r="CR61" s="603"/>
      <c r="CS61" s="603"/>
      <c r="CT61" s="603"/>
      <c r="CU61" s="603"/>
      <c r="CV61" s="603"/>
      <c r="CW61" s="603"/>
      <c r="CX61" s="603"/>
      <c r="CY61" s="603"/>
      <c r="CZ61" s="603"/>
      <c r="DA61" s="603"/>
      <c r="DB61" s="603"/>
      <c r="DC61" s="603"/>
      <c r="DD61" s="603"/>
      <c r="DE61" s="603"/>
      <c r="DF61" s="603"/>
      <c r="DG61" s="603"/>
      <c r="DH61" s="603"/>
      <c r="DI61" s="603"/>
      <c r="DJ61" s="603"/>
      <c r="DK61" s="603"/>
      <c r="DL61" s="603"/>
      <c r="DM61" s="603"/>
      <c r="DN61" s="603"/>
      <c r="DO61" s="603"/>
      <c r="DP61" s="603"/>
      <c r="DQ61" s="603"/>
      <c r="DR61" s="603"/>
      <c r="DS61" s="603"/>
      <c r="DT61" s="603"/>
      <c r="DU61" s="603"/>
      <c r="DV61" s="603"/>
      <c r="DW61" s="603"/>
      <c r="DX61" s="603"/>
      <c r="DY61" s="603"/>
      <c r="DZ61" s="603"/>
      <c r="EA61" s="603"/>
      <c r="EB61" s="603"/>
    </row>
    <row r="62" spans="1:132" s="605" customFormat="1" ht="20.100000000000001" customHeight="1">
      <c r="A62" s="671" t="s">
        <v>22</v>
      </c>
      <c r="B62" s="672">
        <f>'예산세입(마두)'!P72</f>
        <v>51000000</v>
      </c>
      <c r="C62" s="673">
        <f t="shared" si="5"/>
        <v>5.8500501383708919E-3</v>
      </c>
      <c r="D62" s="672">
        <f>'예산세입(마두)'!Q72</f>
        <v>45000000</v>
      </c>
      <c r="E62" s="673">
        <f t="shared" si="22"/>
        <v>7.7249492342086161E-3</v>
      </c>
      <c r="F62" s="672">
        <f t="shared" ref="F62:F67" si="26">+B62-D62</f>
        <v>6000000</v>
      </c>
      <c r="G62" s="674">
        <f t="shared" ref="G62:G66" si="27">+F62/D62</f>
        <v>0.13333333333333333</v>
      </c>
      <c r="H62" s="670"/>
      <c r="I62" s="629"/>
      <c r="J62" s="603"/>
      <c r="K62" s="603"/>
      <c r="L62" s="603"/>
      <c r="M62" s="603"/>
      <c r="N62" s="603"/>
      <c r="O62" s="603"/>
      <c r="P62" s="603"/>
      <c r="Q62" s="603"/>
      <c r="R62" s="603"/>
      <c r="S62" s="603"/>
      <c r="T62" s="603"/>
      <c r="U62" s="603"/>
      <c r="V62" s="603"/>
      <c r="W62" s="603"/>
      <c r="X62" s="603"/>
      <c r="Y62" s="603"/>
      <c r="Z62" s="603"/>
      <c r="AA62" s="603"/>
      <c r="AB62" s="603"/>
      <c r="AC62" s="603"/>
      <c r="AD62" s="603"/>
      <c r="AE62" s="603"/>
      <c r="AF62" s="603"/>
      <c r="AG62" s="603"/>
      <c r="AH62" s="603"/>
      <c r="AI62" s="603"/>
      <c r="AJ62" s="603"/>
      <c r="AK62" s="603"/>
      <c r="AL62" s="603"/>
      <c r="AM62" s="603"/>
      <c r="AN62" s="603"/>
      <c r="AO62" s="603"/>
      <c r="AP62" s="603"/>
      <c r="AQ62" s="603"/>
      <c r="AR62" s="603"/>
      <c r="AS62" s="603"/>
      <c r="AT62" s="603"/>
      <c r="AU62" s="603"/>
      <c r="AV62" s="603"/>
      <c r="AW62" s="603"/>
      <c r="AX62" s="603"/>
      <c r="AY62" s="603"/>
      <c r="AZ62" s="603"/>
      <c r="BA62" s="603"/>
      <c r="BB62" s="603"/>
      <c r="BC62" s="603"/>
      <c r="BD62" s="603"/>
      <c r="BE62" s="603"/>
      <c r="BF62" s="603"/>
      <c r="BG62" s="603"/>
      <c r="BH62" s="603"/>
      <c r="BI62" s="603"/>
      <c r="BJ62" s="603"/>
      <c r="BK62" s="603"/>
      <c r="BL62" s="603"/>
      <c r="BM62" s="603"/>
      <c r="BN62" s="603"/>
      <c r="BO62" s="603"/>
      <c r="BP62" s="603"/>
      <c r="BQ62" s="603"/>
      <c r="BR62" s="603"/>
      <c r="BS62" s="603"/>
      <c r="BT62" s="603"/>
      <c r="BU62" s="603"/>
      <c r="BV62" s="603"/>
      <c r="BW62" s="603"/>
      <c r="BX62" s="603"/>
      <c r="BY62" s="603"/>
      <c r="BZ62" s="603"/>
      <c r="CA62" s="603"/>
      <c r="CB62" s="603"/>
      <c r="CC62" s="603"/>
      <c r="CD62" s="603"/>
      <c r="CE62" s="603"/>
      <c r="CF62" s="603"/>
      <c r="CG62" s="603"/>
      <c r="CH62" s="603"/>
      <c r="CI62" s="603"/>
      <c r="CJ62" s="603"/>
      <c r="CK62" s="603"/>
      <c r="CL62" s="603"/>
      <c r="CM62" s="603"/>
      <c r="CN62" s="603"/>
      <c r="CO62" s="603"/>
      <c r="CP62" s="603"/>
      <c r="CQ62" s="603"/>
      <c r="CR62" s="603"/>
      <c r="CS62" s="603"/>
      <c r="CT62" s="603"/>
      <c r="CU62" s="603"/>
      <c r="CV62" s="603"/>
      <c r="CW62" s="603"/>
      <c r="CX62" s="603"/>
      <c r="CY62" s="603"/>
      <c r="CZ62" s="603"/>
      <c r="DA62" s="603"/>
      <c r="DB62" s="603"/>
      <c r="DC62" s="603"/>
      <c r="DD62" s="603"/>
      <c r="DE62" s="603"/>
      <c r="DF62" s="603"/>
      <c r="DG62" s="603"/>
      <c r="DH62" s="603"/>
      <c r="DI62" s="603"/>
      <c r="DJ62" s="603"/>
      <c r="DK62" s="603"/>
      <c r="DL62" s="603"/>
      <c r="DM62" s="603"/>
      <c r="DN62" s="603"/>
      <c r="DO62" s="603"/>
      <c r="DP62" s="603"/>
      <c r="DQ62" s="603"/>
      <c r="DR62" s="603"/>
      <c r="DS62" s="603"/>
      <c r="DT62" s="603"/>
      <c r="DU62" s="603"/>
      <c r="DV62" s="603"/>
      <c r="DW62" s="603"/>
      <c r="DX62" s="603"/>
      <c r="DY62" s="603"/>
      <c r="DZ62" s="603"/>
      <c r="EA62" s="603"/>
      <c r="EB62" s="603"/>
    </row>
    <row r="63" spans="1:132" s="605" customFormat="1" ht="20.100000000000001" customHeight="1">
      <c r="A63" s="750" t="s">
        <v>2127</v>
      </c>
      <c r="B63" s="751">
        <f>'예산세입(일산서구)'!P36</f>
        <v>42500000</v>
      </c>
      <c r="C63" s="682">
        <f t="shared" si="5"/>
        <v>4.8750417819757429E-3</v>
      </c>
      <c r="D63" s="751">
        <f>'예산세입(일산서구)'!Q36</f>
        <v>0</v>
      </c>
      <c r="E63" s="682">
        <f t="shared" si="5"/>
        <v>0</v>
      </c>
      <c r="F63" s="751">
        <f t="shared" si="26"/>
        <v>42500000</v>
      </c>
      <c r="G63" s="656">
        <v>1</v>
      </c>
      <c r="H63" s="602"/>
      <c r="I63" s="629"/>
      <c r="J63" s="604"/>
      <c r="K63" s="603"/>
      <c r="L63" s="603"/>
      <c r="M63" s="603"/>
      <c r="N63" s="603"/>
      <c r="O63" s="603"/>
      <c r="P63" s="603"/>
      <c r="Q63" s="603"/>
      <c r="R63" s="603"/>
      <c r="S63" s="603"/>
      <c r="T63" s="603"/>
      <c r="U63" s="603"/>
      <c r="V63" s="603"/>
      <c r="W63" s="603"/>
      <c r="X63" s="603"/>
      <c r="Y63" s="603"/>
      <c r="Z63" s="603"/>
      <c r="AA63" s="603"/>
      <c r="AB63" s="603"/>
      <c r="AC63" s="603"/>
      <c r="AD63" s="603"/>
      <c r="AE63" s="603"/>
      <c r="AF63" s="603"/>
      <c r="AG63" s="603"/>
      <c r="AH63" s="603"/>
      <c r="AI63" s="603"/>
      <c r="AJ63" s="603"/>
      <c r="AK63" s="603"/>
      <c r="AL63" s="603"/>
      <c r="AM63" s="603"/>
      <c r="AN63" s="603"/>
      <c r="AO63" s="603"/>
      <c r="AP63" s="603"/>
      <c r="AQ63" s="603"/>
      <c r="AR63" s="603"/>
      <c r="AS63" s="603"/>
      <c r="AT63" s="603"/>
      <c r="AU63" s="603"/>
      <c r="AV63" s="603"/>
      <c r="AW63" s="603"/>
      <c r="AX63" s="603"/>
      <c r="AY63" s="603"/>
      <c r="AZ63" s="603"/>
      <c r="BA63" s="603"/>
      <c r="BB63" s="603"/>
      <c r="BC63" s="603"/>
      <c r="BD63" s="603"/>
      <c r="BE63" s="603"/>
      <c r="BF63" s="603"/>
      <c r="BG63" s="603"/>
      <c r="BH63" s="603"/>
      <c r="BI63" s="603"/>
      <c r="BJ63" s="603"/>
      <c r="BK63" s="603"/>
      <c r="BL63" s="603"/>
      <c r="BM63" s="603"/>
      <c r="BN63" s="603"/>
      <c r="BO63" s="603"/>
      <c r="BP63" s="603"/>
      <c r="BQ63" s="603"/>
      <c r="BR63" s="603"/>
      <c r="BS63" s="603"/>
      <c r="BT63" s="603"/>
      <c r="BU63" s="603"/>
      <c r="BV63" s="603"/>
      <c r="BW63" s="603"/>
      <c r="BX63" s="603"/>
      <c r="BY63" s="603"/>
      <c r="BZ63" s="603"/>
      <c r="CA63" s="603"/>
      <c r="CB63" s="603"/>
      <c r="CC63" s="603"/>
      <c r="CD63" s="603"/>
      <c r="CE63" s="603"/>
      <c r="CF63" s="603"/>
      <c r="CG63" s="603"/>
      <c r="CH63" s="603"/>
      <c r="CI63" s="603"/>
      <c r="CJ63" s="603"/>
      <c r="CK63" s="603"/>
      <c r="CL63" s="603"/>
      <c r="CM63" s="603"/>
      <c r="CN63" s="603"/>
      <c r="CO63" s="603"/>
      <c r="CP63" s="603"/>
      <c r="CQ63" s="603"/>
      <c r="CR63" s="603"/>
      <c r="CS63" s="603"/>
      <c r="CT63" s="603"/>
      <c r="CU63" s="603"/>
      <c r="CV63" s="603"/>
      <c r="CW63" s="603"/>
      <c r="CX63" s="603"/>
      <c r="CY63" s="603"/>
      <c r="CZ63" s="603"/>
      <c r="DA63" s="603"/>
      <c r="DB63" s="603"/>
      <c r="DC63" s="603"/>
      <c r="DD63" s="603"/>
      <c r="DE63" s="603"/>
      <c r="DF63" s="603"/>
      <c r="DG63" s="603"/>
      <c r="DH63" s="603"/>
      <c r="DI63" s="603"/>
      <c r="DJ63" s="603"/>
      <c r="DK63" s="603"/>
      <c r="DL63" s="603"/>
      <c r="DM63" s="603"/>
      <c r="DN63" s="603"/>
      <c r="DO63" s="603"/>
      <c r="DP63" s="603"/>
      <c r="DQ63" s="603"/>
      <c r="DR63" s="603"/>
      <c r="DS63" s="603"/>
      <c r="DT63" s="603"/>
      <c r="DU63" s="603"/>
      <c r="DV63" s="603"/>
      <c r="DW63" s="603"/>
      <c r="DX63" s="603"/>
      <c r="DY63" s="603"/>
      <c r="DZ63" s="603"/>
      <c r="EA63" s="603"/>
      <c r="EB63" s="603"/>
    </row>
    <row r="64" spans="1:132" s="605" customFormat="1" ht="20.100000000000001" customHeight="1">
      <c r="A64" s="677" t="s">
        <v>26</v>
      </c>
      <c r="B64" s="675">
        <f>'예산세입(토당)'!P124</f>
        <v>75462000</v>
      </c>
      <c r="C64" s="676">
        <f t="shared" si="5"/>
        <v>8.6560094812106712E-3</v>
      </c>
      <c r="D64" s="675">
        <f>'예산세입(토당)'!Q124</f>
        <v>52787000</v>
      </c>
      <c r="E64" s="676">
        <f t="shared" si="22"/>
        <v>9.0617087828037818E-3</v>
      </c>
      <c r="F64" s="675">
        <f t="shared" si="26"/>
        <v>22675000</v>
      </c>
      <c r="G64" s="678">
        <f t="shared" si="27"/>
        <v>0.42955651959762819</v>
      </c>
      <c r="H64" s="670"/>
      <c r="I64" s="629"/>
      <c r="J64" s="603"/>
      <c r="K64" s="603"/>
      <c r="L64" s="603"/>
      <c r="M64" s="603"/>
      <c r="N64" s="603"/>
      <c r="O64" s="603"/>
      <c r="P64" s="603"/>
      <c r="Q64" s="603"/>
      <c r="R64" s="603"/>
      <c r="S64" s="603"/>
      <c r="T64" s="603"/>
      <c r="U64" s="603"/>
      <c r="V64" s="603"/>
      <c r="W64" s="603"/>
      <c r="X64" s="603"/>
      <c r="Y64" s="603"/>
      <c r="Z64" s="603"/>
      <c r="AA64" s="603"/>
      <c r="AB64" s="603"/>
      <c r="AC64" s="603"/>
      <c r="AD64" s="603"/>
      <c r="AE64" s="603"/>
      <c r="AF64" s="603"/>
      <c r="AG64" s="603"/>
      <c r="AH64" s="603"/>
      <c r="AI64" s="603"/>
      <c r="AJ64" s="603"/>
      <c r="AK64" s="603"/>
      <c r="AL64" s="603"/>
      <c r="AM64" s="603"/>
      <c r="AN64" s="603"/>
      <c r="AO64" s="603"/>
      <c r="AP64" s="603"/>
      <c r="AQ64" s="603"/>
      <c r="AR64" s="603"/>
      <c r="AS64" s="603"/>
      <c r="AT64" s="603"/>
      <c r="AU64" s="603"/>
      <c r="AV64" s="603"/>
      <c r="AW64" s="603"/>
      <c r="AX64" s="603"/>
      <c r="AY64" s="603"/>
      <c r="AZ64" s="603"/>
      <c r="BA64" s="603"/>
      <c r="BB64" s="603"/>
      <c r="BC64" s="603"/>
      <c r="BD64" s="603"/>
      <c r="BE64" s="603"/>
      <c r="BF64" s="603"/>
      <c r="BG64" s="603"/>
      <c r="BH64" s="603"/>
      <c r="BI64" s="603"/>
      <c r="BJ64" s="603"/>
      <c r="BK64" s="603"/>
      <c r="BL64" s="603"/>
      <c r="BM64" s="603"/>
      <c r="BN64" s="603"/>
      <c r="BO64" s="603"/>
      <c r="BP64" s="603"/>
      <c r="BQ64" s="603"/>
      <c r="BR64" s="603"/>
      <c r="BS64" s="603"/>
      <c r="BT64" s="603"/>
      <c r="BU64" s="603"/>
      <c r="BV64" s="603"/>
      <c r="BW64" s="603"/>
      <c r="BX64" s="603"/>
      <c r="BY64" s="603"/>
      <c r="BZ64" s="603"/>
      <c r="CA64" s="603"/>
      <c r="CB64" s="603"/>
      <c r="CC64" s="603"/>
      <c r="CD64" s="603"/>
      <c r="CE64" s="603"/>
      <c r="CF64" s="603"/>
      <c r="CG64" s="603"/>
      <c r="CH64" s="603"/>
      <c r="CI64" s="603"/>
      <c r="CJ64" s="603"/>
      <c r="CK64" s="603"/>
      <c r="CL64" s="603"/>
      <c r="CM64" s="603"/>
      <c r="CN64" s="603"/>
      <c r="CO64" s="603"/>
      <c r="CP64" s="603"/>
      <c r="CQ64" s="603"/>
      <c r="CR64" s="603"/>
      <c r="CS64" s="603"/>
      <c r="CT64" s="603"/>
      <c r="CU64" s="603"/>
      <c r="CV64" s="603"/>
      <c r="CW64" s="603"/>
      <c r="CX64" s="603"/>
      <c r="CY64" s="603"/>
      <c r="CZ64" s="603"/>
      <c r="DA64" s="603"/>
      <c r="DB64" s="603"/>
      <c r="DC64" s="603"/>
      <c r="DD64" s="603"/>
      <c r="DE64" s="603"/>
      <c r="DF64" s="603"/>
      <c r="DG64" s="603"/>
      <c r="DH64" s="603"/>
      <c r="DI64" s="603"/>
      <c r="DJ64" s="603"/>
      <c r="DK64" s="603"/>
      <c r="DL64" s="603"/>
      <c r="DM64" s="603"/>
      <c r="DN64" s="603"/>
      <c r="DO64" s="603"/>
      <c r="DP64" s="603"/>
      <c r="DQ64" s="603"/>
      <c r="DR64" s="603"/>
      <c r="DS64" s="603"/>
      <c r="DT64" s="603"/>
      <c r="DU64" s="603"/>
      <c r="DV64" s="603"/>
      <c r="DW64" s="603"/>
      <c r="DX64" s="603"/>
      <c r="DY64" s="603"/>
      <c r="DZ64" s="603"/>
      <c r="EA64" s="603"/>
      <c r="EB64" s="603"/>
    </row>
    <row r="65" spans="1:132" s="605" customFormat="1" ht="20.100000000000001" customHeight="1">
      <c r="A65" s="684" t="s">
        <v>36</v>
      </c>
      <c r="B65" s="685">
        <f>'예산세입(화정)'!P19</f>
        <v>32640000</v>
      </c>
      <c r="C65" s="686">
        <f t="shared" si="5"/>
        <v>3.7440320885573706E-3</v>
      </c>
      <c r="D65" s="685">
        <f>'예산세입(화정)'!Q19</f>
        <v>30000000</v>
      </c>
      <c r="E65" s="676">
        <f t="shared" si="22"/>
        <v>5.1499661561390771E-3</v>
      </c>
      <c r="F65" s="685">
        <f t="shared" si="26"/>
        <v>2640000</v>
      </c>
      <c r="G65" s="640">
        <f t="shared" si="27"/>
        <v>8.7999999999999995E-2</v>
      </c>
      <c r="H65" s="670"/>
      <c r="I65" s="629"/>
      <c r="J65" s="603"/>
      <c r="K65" s="603"/>
      <c r="L65" s="603"/>
      <c r="M65" s="603"/>
      <c r="N65" s="603"/>
      <c r="O65" s="603"/>
      <c r="P65" s="603"/>
      <c r="Q65" s="603"/>
      <c r="R65" s="603"/>
      <c r="S65" s="603"/>
      <c r="T65" s="603"/>
      <c r="U65" s="603"/>
      <c r="V65" s="603"/>
      <c r="W65" s="603"/>
      <c r="X65" s="603"/>
      <c r="Y65" s="603"/>
      <c r="Z65" s="603"/>
      <c r="AA65" s="603"/>
      <c r="AB65" s="603"/>
      <c r="AC65" s="603"/>
      <c r="AD65" s="603"/>
      <c r="AE65" s="603"/>
      <c r="AF65" s="603"/>
      <c r="AG65" s="603"/>
      <c r="AH65" s="603"/>
      <c r="AI65" s="603"/>
      <c r="AJ65" s="603"/>
      <c r="AK65" s="603"/>
      <c r="AL65" s="603"/>
      <c r="AM65" s="603"/>
      <c r="AN65" s="603"/>
      <c r="AO65" s="603"/>
      <c r="AP65" s="603"/>
      <c r="AQ65" s="603"/>
      <c r="AR65" s="603"/>
      <c r="AS65" s="603"/>
      <c r="AT65" s="603"/>
      <c r="AU65" s="603"/>
      <c r="AV65" s="603"/>
      <c r="AW65" s="603"/>
      <c r="AX65" s="603"/>
      <c r="AY65" s="603"/>
      <c r="AZ65" s="603"/>
      <c r="BA65" s="603"/>
      <c r="BB65" s="603"/>
      <c r="BC65" s="603"/>
      <c r="BD65" s="603"/>
      <c r="BE65" s="603"/>
      <c r="BF65" s="603"/>
      <c r="BG65" s="603"/>
      <c r="BH65" s="603"/>
      <c r="BI65" s="603"/>
      <c r="BJ65" s="603"/>
      <c r="BK65" s="603"/>
      <c r="BL65" s="603"/>
      <c r="BM65" s="603"/>
      <c r="BN65" s="603"/>
      <c r="BO65" s="603"/>
      <c r="BP65" s="603"/>
      <c r="BQ65" s="603"/>
      <c r="BR65" s="603"/>
      <c r="BS65" s="603"/>
      <c r="BT65" s="603"/>
      <c r="BU65" s="603"/>
      <c r="BV65" s="603"/>
      <c r="BW65" s="603"/>
      <c r="BX65" s="603"/>
      <c r="BY65" s="603"/>
      <c r="BZ65" s="603"/>
      <c r="CA65" s="603"/>
      <c r="CB65" s="603"/>
      <c r="CC65" s="603"/>
      <c r="CD65" s="603"/>
      <c r="CE65" s="603"/>
      <c r="CF65" s="603"/>
      <c r="CG65" s="603"/>
      <c r="CH65" s="603"/>
      <c r="CI65" s="603"/>
      <c r="CJ65" s="603"/>
      <c r="CK65" s="603"/>
      <c r="CL65" s="603"/>
      <c r="CM65" s="603"/>
      <c r="CN65" s="603"/>
      <c r="CO65" s="603"/>
      <c r="CP65" s="603"/>
      <c r="CQ65" s="603"/>
      <c r="CR65" s="603"/>
      <c r="CS65" s="603"/>
      <c r="CT65" s="603"/>
      <c r="CU65" s="603"/>
      <c r="CV65" s="603"/>
      <c r="CW65" s="603"/>
      <c r="CX65" s="603"/>
      <c r="CY65" s="603"/>
      <c r="CZ65" s="603"/>
      <c r="DA65" s="603"/>
      <c r="DB65" s="603"/>
      <c r="DC65" s="603"/>
      <c r="DD65" s="603"/>
      <c r="DE65" s="603"/>
      <c r="DF65" s="603"/>
      <c r="DG65" s="603"/>
      <c r="DH65" s="603"/>
      <c r="DI65" s="603"/>
      <c r="DJ65" s="603"/>
      <c r="DK65" s="603"/>
      <c r="DL65" s="603"/>
      <c r="DM65" s="603"/>
      <c r="DN65" s="603"/>
      <c r="DO65" s="603"/>
      <c r="DP65" s="603"/>
      <c r="DQ65" s="603"/>
      <c r="DR65" s="603"/>
      <c r="DS65" s="603"/>
      <c r="DT65" s="603"/>
      <c r="DU65" s="603"/>
      <c r="DV65" s="603"/>
      <c r="DW65" s="603"/>
      <c r="DX65" s="603"/>
      <c r="DY65" s="603"/>
      <c r="DZ65" s="603"/>
      <c r="EA65" s="603"/>
      <c r="EB65" s="603"/>
    </row>
    <row r="66" spans="1:132" s="605" customFormat="1" ht="20.100000000000001" customHeight="1">
      <c r="A66" s="684" t="s">
        <v>2515</v>
      </c>
      <c r="B66" s="685">
        <f>'예산세입(백마)'!P9</f>
        <v>16000000</v>
      </c>
      <c r="C66" s="686">
        <f t="shared" si="5"/>
        <v>1.8353098473320444E-3</v>
      </c>
      <c r="D66" s="685">
        <f>'예산세입(백마)'!Q9</f>
        <v>16000000</v>
      </c>
      <c r="E66" s="676">
        <f t="shared" si="22"/>
        <v>2.7466486166075076E-3</v>
      </c>
      <c r="F66" s="685">
        <f t="shared" si="26"/>
        <v>0</v>
      </c>
      <c r="G66" s="640">
        <f t="shared" si="27"/>
        <v>0</v>
      </c>
      <c r="H66" s="670"/>
      <c r="I66" s="629"/>
      <c r="J66" s="603"/>
      <c r="K66" s="603"/>
      <c r="L66" s="603"/>
      <c r="M66" s="603"/>
      <c r="N66" s="603"/>
      <c r="O66" s="603"/>
      <c r="P66" s="603"/>
      <c r="Q66" s="603"/>
      <c r="R66" s="603"/>
      <c r="S66" s="603"/>
      <c r="T66" s="603"/>
      <c r="U66" s="603"/>
      <c r="V66" s="603"/>
      <c r="W66" s="603"/>
      <c r="X66" s="603"/>
      <c r="Y66" s="603"/>
      <c r="Z66" s="603"/>
      <c r="AA66" s="603"/>
      <c r="AB66" s="603"/>
      <c r="AC66" s="603"/>
      <c r="AD66" s="603"/>
      <c r="AE66" s="603"/>
      <c r="AF66" s="603"/>
      <c r="AG66" s="603"/>
      <c r="AH66" s="603"/>
      <c r="AI66" s="603"/>
      <c r="AJ66" s="603"/>
      <c r="AK66" s="603"/>
      <c r="AL66" s="603"/>
      <c r="AM66" s="603"/>
      <c r="AN66" s="603"/>
      <c r="AO66" s="603"/>
      <c r="AP66" s="603"/>
      <c r="AQ66" s="603"/>
      <c r="AR66" s="603"/>
      <c r="AS66" s="603"/>
      <c r="AT66" s="603"/>
      <c r="AU66" s="603"/>
      <c r="AV66" s="603"/>
      <c r="AW66" s="603"/>
      <c r="AX66" s="603"/>
      <c r="AY66" s="603"/>
      <c r="AZ66" s="603"/>
      <c r="BA66" s="603"/>
      <c r="BB66" s="603"/>
      <c r="BC66" s="603"/>
      <c r="BD66" s="603"/>
      <c r="BE66" s="603"/>
      <c r="BF66" s="603"/>
      <c r="BG66" s="603"/>
      <c r="BH66" s="603"/>
      <c r="BI66" s="603"/>
      <c r="BJ66" s="603"/>
      <c r="BK66" s="603"/>
      <c r="BL66" s="603"/>
      <c r="BM66" s="603"/>
      <c r="BN66" s="603"/>
      <c r="BO66" s="603"/>
      <c r="BP66" s="603"/>
      <c r="BQ66" s="603"/>
      <c r="BR66" s="603"/>
      <c r="BS66" s="603"/>
      <c r="BT66" s="603"/>
      <c r="BU66" s="603"/>
      <c r="BV66" s="603"/>
      <c r="BW66" s="603"/>
      <c r="BX66" s="603"/>
      <c r="BY66" s="603"/>
      <c r="BZ66" s="603"/>
      <c r="CA66" s="603"/>
      <c r="CB66" s="603"/>
      <c r="CC66" s="603"/>
      <c r="CD66" s="603"/>
      <c r="CE66" s="603"/>
      <c r="CF66" s="603"/>
      <c r="CG66" s="603"/>
      <c r="CH66" s="603"/>
      <c r="CI66" s="603"/>
      <c r="CJ66" s="603"/>
      <c r="CK66" s="603"/>
      <c r="CL66" s="603"/>
      <c r="CM66" s="603"/>
      <c r="CN66" s="603"/>
      <c r="CO66" s="603"/>
      <c r="CP66" s="603"/>
      <c r="CQ66" s="603"/>
      <c r="CR66" s="603"/>
      <c r="CS66" s="603"/>
      <c r="CT66" s="603"/>
      <c r="CU66" s="603"/>
      <c r="CV66" s="603"/>
      <c r="CW66" s="603"/>
      <c r="CX66" s="603"/>
      <c r="CY66" s="603"/>
      <c r="CZ66" s="603"/>
      <c r="DA66" s="603"/>
      <c r="DB66" s="603"/>
      <c r="DC66" s="603"/>
      <c r="DD66" s="603"/>
      <c r="DE66" s="603"/>
      <c r="DF66" s="603"/>
      <c r="DG66" s="603"/>
      <c r="DH66" s="603"/>
      <c r="DI66" s="603"/>
      <c r="DJ66" s="603"/>
      <c r="DK66" s="603"/>
      <c r="DL66" s="603"/>
      <c r="DM66" s="603"/>
      <c r="DN66" s="603"/>
      <c r="DO66" s="603"/>
      <c r="DP66" s="603"/>
      <c r="DQ66" s="603"/>
      <c r="DR66" s="603"/>
      <c r="DS66" s="603"/>
      <c r="DT66" s="603"/>
      <c r="DU66" s="603"/>
      <c r="DV66" s="603"/>
      <c r="DW66" s="603"/>
      <c r="DX66" s="603"/>
      <c r="DY66" s="603"/>
      <c r="DZ66" s="603"/>
      <c r="EA66" s="603"/>
      <c r="EB66" s="603"/>
    </row>
    <row r="67" spans="1:132" s="605" customFormat="1" ht="20.100000000000001" customHeight="1">
      <c r="A67" s="691" t="s">
        <v>2516</v>
      </c>
      <c r="B67" s="692">
        <f>'예산세입(능곡)'!P9</f>
        <v>2400000</v>
      </c>
      <c r="C67" s="686">
        <f t="shared" si="5"/>
        <v>2.7529647709980667E-4</v>
      </c>
      <c r="D67" s="692">
        <f>'예산세입(능곡)'!Q9</f>
        <v>0</v>
      </c>
      <c r="E67" s="676">
        <f t="shared" si="22"/>
        <v>0</v>
      </c>
      <c r="F67" s="685">
        <f t="shared" si="26"/>
        <v>2400000</v>
      </c>
      <c r="G67" s="735">
        <v>1</v>
      </c>
      <c r="H67" s="602"/>
      <c r="I67" s="629"/>
      <c r="J67" s="603"/>
      <c r="K67" s="603"/>
      <c r="L67" s="603"/>
      <c r="M67" s="603"/>
      <c r="N67" s="603"/>
      <c r="O67" s="603"/>
      <c r="P67" s="603"/>
      <c r="Q67" s="603"/>
      <c r="R67" s="603"/>
      <c r="S67" s="603"/>
      <c r="T67" s="603"/>
      <c r="U67" s="603"/>
      <c r="V67" s="603"/>
      <c r="W67" s="603"/>
      <c r="X67" s="603"/>
      <c r="Y67" s="603"/>
      <c r="Z67" s="603"/>
      <c r="AA67" s="603"/>
      <c r="AB67" s="603"/>
      <c r="AC67" s="603"/>
      <c r="AD67" s="603"/>
      <c r="AE67" s="603"/>
      <c r="AF67" s="603"/>
      <c r="AG67" s="603"/>
      <c r="AH67" s="603"/>
      <c r="AI67" s="603"/>
      <c r="AJ67" s="603"/>
      <c r="AK67" s="603"/>
      <c r="AL67" s="603"/>
      <c r="AM67" s="603"/>
      <c r="AN67" s="603"/>
      <c r="AO67" s="603"/>
      <c r="AP67" s="603"/>
      <c r="AQ67" s="603"/>
      <c r="AR67" s="603"/>
      <c r="AS67" s="603"/>
      <c r="AT67" s="603"/>
      <c r="AU67" s="603"/>
      <c r="AV67" s="603"/>
      <c r="AW67" s="603"/>
      <c r="AX67" s="603"/>
      <c r="AY67" s="603"/>
      <c r="AZ67" s="603"/>
      <c r="BA67" s="603"/>
      <c r="BB67" s="603"/>
      <c r="BC67" s="603"/>
      <c r="BD67" s="603"/>
      <c r="BE67" s="603"/>
      <c r="BF67" s="603"/>
      <c r="BG67" s="603"/>
      <c r="BH67" s="603"/>
      <c r="BI67" s="603"/>
      <c r="BJ67" s="603"/>
      <c r="BK67" s="603"/>
      <c r="BL67" s="603"/>
      <c r="BM67" s="603"/>
      <c r="BN67" s="603"/>
      <c r="BO67" s="603"/>
      <c r="BP67" s="603"/>
      <c r="BQ67" s="603"/>
      <c r="BR67" s="603"/>
      <c r="BS67" s="603"/>
      <c r="BT67" s="603"/>
      <c r="BU67" s="603"/>
      <c r="BV67" s="603"/>
      <c r="BW67" s="603"/>
      <c r="BX67" s="603"/>
      <c r="BY67" s="603"/>
      <c r="BZ67" s="603"/>
      <c r="CA67" s="603"/>
      <c r="CB67" s="603"/>
      <c r="CC67" s="603"/>
      <c r="CD67" s="603"/>
      <c r="CE67" s="603"/>
      <c r="CF67" s="603"/>
      <c r="CG67" s="603"/>
      <c r="CH67" s="603"/>
      <c r="CI67" s="603"/>
      <c r="CJ67" s="603"/>
      <c r="CK67" s="603"/>
      <c r="CL67" s="603"/>
      <c r="CM67" s="603"/>
      <c r="CN67" s="603"/>
      <c r="CO67" s="603"/>
      <c r="CP67" s="603"/>
      <c r="CQ67" s="603"/>
      <c r="CR67" s="603"/>
      <c r="CS67" s="603"/>
      <c r="CT67" s="603"/>
      <c r="CU67" s="603"/>
      <c r="CV67" s="603"/>
      <c r="CW67" s="603"/>
      <c r="CX67" s="603"/>
      <c r="CY67" s="603"/>
      <c r="CZ67" s="603"/>
      <c r="DA67" s="603"/>
      <c r="DB67" s="603"/>
      <c r="DC67" s="603"/>
      <c r="DD67" s="603"/>
      <c r="DE67" s="603"/>
      <c r="DF67" s="603"/>
      <c r="DG67" s="603"/>
      <c r="DH67" s="603"/>
      <c r="DI67" s="603"/>
      <c r="DJ67" s="603"/>
      <c r="DK67" s="603"/>
      <c r="DL67" s="603"/>
      <c r="DM67" s="603"/>
      <c r="DN67" s="603"/>
      <c r="DO67" s="603"/>
      <c r="DP67" s="603"/>
      <c r="DQ67" s="603"/>
      <c r="DR67" s="603"/>
      <c r="DS67" s="603"/>
      <c r="DT67" s="603"/>
      <c r="DU67" s="603"/>
      <c r="DV67" s="603"/>
      <c r="DW67" s="603"/>
      <c r="DX67" s="603"/>
      <c r="DY67" s="603"/>
      <c r="DZ67" s="603"/>
      <c r="EA67" s="603"/>
      <c r="EB67" s="603"/>
    </row>
    <row r="68" spans="1:132" s="605" customFormat="1" ht="20.100000000000001" customHeight="1">
      <c r="A68" s="687" t="s">
        <v>2182</v>
      </c>
      <c r="B68" s="688">
        <f>SUM(B69:B74)</f>
        <v>107010000</v>
      </c>
      <c r="C68" s="689">
        <f>+B68/$B$7</f>
        <v>1.227478167268763E-2</v>
      </c>
      <c r="D68" s="688">
        <f>SUM(D69:D74)</f>
        <v>107621000</v>
      </c>
      <c r="E68" s="748">
        <f t="shared" si="22"/>
        <v>1.8474816922994786E-2</v>
      </c>
      <c r="F68" s="688">
        <f>SUM(F69:F74)</f>
        <v>-611000</v>
      </c>
      <c r="G68" s="690">
        <f t="shared" ref="G68:G75" si="28">+F68/D68</f>
        <v>-5.6773306324973752E-3</v>
      </c>
      <c r="H68" s="669"/>
      <c r="I68" s="629"/>
      <c r="J68" s="603"/>
      <c r="K68" s="603"/>
      <c r="L68" s="603"/>
      <c r="M68" s="603"/>
      <c r="N68" s="603"/>
      <c r="O68" s="603"/>
      <c r="P68" s="603"/>
      <c r="Q68" s="603"/>
      <c r="R68" s="603"/>
      <c r="S68" s="603"/>
      <c r="T68" s="603"/>
      <c r="U68" s="603"/>
      <c r="V68" s="603"/>
      <c r="W68" s="603"/>
      <c r="X68" s="603"/>
      <c r="Y68" s="603"/>
      <c r="Z68" s="603"/>
      <c r="AA68" s="603"/>
      <c r="AB68" s="603"/>
      <c r="AC68" s="603"/>
      <c r="AD68" s="603"/>
      <c r="AE68" s="603"/>
      <c r="AF68" s="603"/>
      <c r="AG68" s="603"/>
      <c r="AH68" s="603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3"/>
      <c r="AT68" s="603"/>
      <c r="AU68" s="603"/>
      <c r="AV68" s="603"/>
      <c r="AW68" s="603"/>
      <c r="AX68" s="603"/>
      <c r="AY68" s="603"/>
      <c r="AZ68" s="603"/>
      <c r="BA68" s="603"/>
      <c r="BB68" s="603"/>
      <c r="BC68" s="603"/>
      <c r="BD68" s="603"/>
      <c r="BE68" s="603"/>
      <c r="BF68" s="603"/>
      <c r="BG68" s="603"/>
      <c r="BH68" s="603"/>
      <c r="BI68" s="603"/>
      <c r="BJ68" s="603"/>
      <c r="BK68" s="603"/>
      <c r="BL68" s="603"/>
      <c r="BM68" s="603"/>
      <c r="BN68" s="603"/>
      <c r="BO68" s="603"/>
      <c r="BP68" s="603"/>
      <c r="BQ68" s="603"/>
      <c r="BR68" s="603"/>
      <c r="BS68" s="603"/>
      <c r="BT68" s="603"/>
      <c r="BU68" s="603"/>
      <c r="BV68" s="603"/>
      <c r="BW68" s="603"/>
      <c r="BX68" s="603"/>
      <c r="BY68" s="603"/>
      <c r="BZ68" s="603"/>
      <c r="CA68" s="603"/>
      <c r="CB68" s="603"/>
      <c r="CC68" s="603"/>
      <c r="CD68" s="603"/>
      <c r="CE68" s="603"/>
      <c r="CF68" s="603"/>
      <c r="CG68" s="603"/>
      <c r="CH68" s="603"/>
      <c r="CI68" s="603"/>
      <c r="CJ68" s="603"/>
      <c r="CK68" s="603"/>
      <c r="CL68" s="603"/>
      <c r="CM68" s="603"/>
      <c r="CN68" s="603"/>
      <c r="CO68" s="603"/>
      <c r="CP68" s="603"/>
      <c r="CQ68" s="603"/>
      <c r="CR68" s="603"/>
      <c r="CS68" s="603"/>
      <c r="CT68" s="603"/>
      <c r="CU68" s="603"/>
      <c r="CV68" s="603"/>
      <c r="CW68" s="603"/>
      <c r="CX68" s="603"/>
      <c r="CY68" s="603"/>
      <c r="CZ68" s="603"/>
      <c r="DA68" s="603"/>
      <c r="DB68" s="603"/>
      <c r="DC68" s="603"/>
      <c r="DD68" s="603"/>
      <c r="DE68" s="603"/>
      <c r="DF68" s="603"/>
      <c r="DG68" s="603"/>
      <c r="DH68" s="603"/>
      <c r="DI68" s="603"/>
      <c r="DJ68" s="603"/>
      <c r="DK68" s="603"/>
      <c r="DL68" s="603"/>
      <c r="DM68" s="603"/>
      <c r="DN68" s="603"/>
      <c r="DO68" s="603"/>
      <c r="DP68" s="603"/>
      <c r="DQ68" s="603"/>
      <c r="DR68" s="603"/>
      <c r="DS68" s="603"/>
      <c r="DT68" s="603"/>
      <c r="DU68" s="603"/>
      <c r="DV68" s="603"/>
      <c r="DW68" s="603"/>
      <c r="DX68" s="603"/>
      <c r="DY68" s="603"/>
      <c r="DZ68" s="603"/>
      <c r="EA68" s="603"/>
      <c r="EB68" s="603"/>
    </row>
    <row r="69" spans="1:132" s="605" customFormat="1" ht="20.100000000000001" customHeight="1">
      <c r="A69" s="684" t="s">
        <v>22</v>
      </c>
      <c r="B69" s="685">
        <f>'예산세입(마두)'!P96</f>
        <v>75000000</v>
      </c>
      <c r="C69" s="686">
        <f t="shared" si="5"/>
        <v>8.6030149093689577E-3</v>
      </c>
      <c r="D69" s="685">
        <f>'예산세입(마두)'!Q96</f>
        <v>79500000</v>
      </c>
      <c r="E69" s="676">
        <f t="shared" si="22"/>
        <v>1.3647410313768555E-2</v>
      </c>
      <c r="F69" s="685">
        <f t="shared" ref="F69:F74" si="29">+B69-D69</f>
        <v>-4500000</v>
      </c>
      <c r="G69" s="640">
        <f t="shared" si="28"/>
        <v>-5.6603773584905662E-2</v>
      </c>
      <c r="H69" s="670"/>
      <c r="I69" s="752"/>
      <c r="J69" s="661"/>
      <c r="K69" s="661"/>
      <c r="L69" s="661"/>
      <c r="M69" s="661"/>
      <c r="N69" s="661"/>
      <c r="O69" s="661"/>
      <c r="P69" s="603"/>
      <c r="Q69" s="603"/>
      <c r="R69" s="603"/>
      <c r="S69" s="603"/>
      <c r="T69" s="603"/>
      <c r="U69" s="603"/>
      <c r="V69" s="603"/>
      <c r="W69" s="603"/>
      <c r="X69" s="603"/>
      <c r="Y69" s="603"/>
      <c r="Z69" s="603"/>
      <c r="AA69" s="603"/>
      <c r="AB69" s="603"/>
      <c r="AC69" s="603"/>
      <c r="AD69" s="603"/>
      <c r="AE69" s="603"/>
      <c r="AF69" s="603"/>
      <c r="AG69" s="603"/>
      <c r="AH69" s="603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3"/>
      <c r="AT69" s="603"/>
      <c r="AU69" s="603"/>
      <c r="AV69" s="603"/>
      <c r="AW69" s="603"/>
      <c r="AX69" s="603"/>
      <c r="AY69" s="603"/>
      <c r="AZ69" s="603"/>
      <c r="BA69" s="603"/>
      <c r="BB69" s="603"/>
      <c r="BC69" s="603"/>
      <c r="BD69" s="603"/>
      <c r="BE69" s="603"/>
      <c r="BF69" s="603"/>
      <c r="BG69" s="603"/>
      <c r="BH69" s="603"/>
      <c r="BI69" s="603"/>
      <c r="BJ69" s="603"/>
      <c r="BK69" s="603"/>
      <c r="BL69" s="603"/>
      <c r="BM69" s="603"/>
      <c r="BN69" s="603"/>
      <c r="BO69" s="603"/>
      <c r="BP69" s="603"/>
      <c r="BQ69" s="603"/>
      <c r="BR69" s="603"/>
      <c r="BS69" s="603"/>
      <c r="BT69" s="603"/>
      <c r="BU69" s="603"/>
      <c r="BV69" s="603"/>
      <c r="BW69" s="603"/>
      <c r="BX69" s="603"/>
      <c r="BY69" s="603"/>
      <c r="BZ69" s="603"/>
      <c r="CA69" s="603"/>
      <c r="CB69" s="603"/>
      <c r="CC69" s="603"/>
      <c r="CD69" s="603"/>
      <c r="CE69" s="603"/>
      <c r="CF69" s="603"/>
      <c r="CG69" s="603"/>
      <c r="CH69" s="603"/>
      <c r="CI69" s="603"/>
      <c r="CJ69" s="603"/>
      <c r="CK69" s="603"/>
      <c r="CL69" s="603"/>
      <c r="CM69" s="603"/>
      <c r="CN69" s="603"/>
      <c r="CO69" s="603"/>
      <c r="CP69" s="603"/>
      <c r="CQ69" s="603"/>
      <c r="CR69" s="603"/>
      <c r="CS69" s="603"/>
      <c r="CT69" s="603"/>
      <c r="CU69" s="603"/>
      <c r="CV69" s="603"/>
      <c r="CW69" s="603"/>
      <c r="CX69" s="603"/>
      <c r="CY69" s="603"/>
      <c r="CZ69" s="603"/>
      <c r="DA69" s="603"/>
      <c r="DB69" s="603"/>
      <c r="DC69" s="603"/>
      <c r="DD69" s="603"/>
      <c r="DE69" s="603"/>
      <c r="DF69" s="603"/>
      <c r="DG69" s="603"/>
      <c r="DH69" s="603"/>
      <c r="DI69" s="603"/>
      <c r="DJ69" s="603"/>
      <c r="DK69" s="603"/>
      <c r="DL69" s="603"/>
      <c r="DM69" s="603"/>
      <c r="DN69" s="603"/>
      <c r="DO69" s="603"/>
      <c r="DP69" s="603"/>
      <c r="DQ69" s="603"/>
      <c r="DR69" s="603"/>
      <c r="DS69" s="603"/>
      <c r="DT69" s="603"/>
      <c r="DU69" s="603"/>
      <c r="DV69" s="603"/>
      <c r="DW69" s="603"/>
      <c r="DX69" s="603"/>
      <c r="DY69" s="603"/>
      <c r="DZ69" s="603"/>
      <c r="EA69" s="603"/>
      <c r="EB69" s="603"/>
    </row>
    <row r="70" spans="1:132" s="605" customFormat="1" ht="20.100000000000001" customHeight="1">
      <c r="A70" s="684" t="s">
        <v>24</v>
      </c>
      <c r="B70" s="685">
        <f>'예산세입(성사)'!P31</f>
        <v>14000000</v>
      </c>
      <c r="C70" s="686">
        <f t="shared" si="5"/>
        <v>1.605896116415539E-3</v>
      </c>
      <c r="D70" s="685">
        <f>ROUNDDOWN('예산세입(성사)'!Q31,-3)</f>
        <v>11721000</v>
      </c>
      <c r="E70" s="676">
        <f t="shared" si="22"/>
        <v>2.0120917772035373E-3</v>
      </c>
      <c r="F70" s="685">
        <f t="shared" si="29"/>
        <v>2279000</v>
      </c>
      <c r="G70" s="640">
        <f t="shared" si="28"/>
        <v>0.19443733469840457</v>
      </c>
      <c r="H70" s="670"/>
      <c r="I70" s="752"/>
      <c r="J70" s="661"/>
      <c r="K70" s="661"/>
      <c r="L70" s="661"/>
      <c r="M70" s="661"/>
      <c r="N70" s="661"/>
      <c r="O70" s="661"/>
      <c r="P70" s="603"/>
      <c r="Q70" s="603"/>
      <c r="R70" s="603"/>
      <c r="S70" s="603"/>
      <c r="T70" s="603"/>
      <c r="U70" s="603"/>
      <c r="V70" s="603"/>
      <c r="W70" s="603"/>
      <c r="X70" s="603"/>
      <c r="Y70" s="603"/>
      <c r="Z70" s="603"/>
      <c r="AA70" s="603"/>
      <c r="AB70" s="603"/>
      <c r="AC70" s="603"/>
      <c r="AD70" s="603"/>
      <c r="AE70" s="603"/>
      <c r="AF70" s="603"/>
      <c r="AG70" s="603"/>
      <c r="AH70" s="603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3"/>
      <c r="AT70" s="603"/>
      <c r="AU70" s="603"/>
      <c r="AV70" s="603"/>
      <c r="AW70" s="603"/>
      <c r="AX70" s="603"/>
      <c r="AY70" s="603"/>
      <c r="AZ70" s="603"/>
      <c r="BA70" s="603"/>
      <c r="BB70" s="603"/>
      <c r="BC70" s="603"/>
      <c r="BD70" s="603"/>
      <c r="BE70" s="603"/>
      <c r="BF70" s="603"/>
      <c r="BG70" s="603"/>
      <c r="BH70" s="603"/>
      <c r="BI70" s="603"/>
      <c r="BJ70" s="603"/>
      <c r="BK70" s="603"/>
      <c r="BL70" s="603"/>
      <c r="BM70" s="603"/>
      <c r="BN70" s="603"/>
      <c r="BO70" s="603"/>
      <c r="BP70" s="603"/>
      <c r="BQ70" s="603"/>
      <c r="BR70" s="603"/>
      <c r="BS70" s="603"/>
      <c r="BT70" s="603"/>
      <c r="BU70" s="603"/>
      <c r="BV70" s="603"/>
      <c r="BW70" s="603"/>
      <c r="BX70" s="603"/>
      <c r="BY70" s="603"/>
      <c r="BZ70" s="603"/>
      <c r="CA70" s="603"/>
      <c r="CB70" s="603"/>
      <c r="CC70" s="603"/>
      <c r="CD70" s="603"/>
      <c r="CE70" s="603"/>
      <c r="CF70" s="603"/>
      <c r="CG70" s="603"/>
      <c r="CH70" s="603"/>
      <c r="CI70" s="603"/>
      <c r="CJ70" s="603"/>
      <c r="CK70" s="603"/>
      <c r="CL70" s="603"/>
      <c r="CM70" s="603"/>
      <c r="CN70" s="603"/>
      <c r="CO70" s="603"/>
      <c r="CP70" s="603"/>
      <c r="CQ70" s="603"/>
      <c r="CR70" s="603"/>
      <c r="CS70" s="603"/>
      <c r="CT70" s="603"/>
      <c r="CU70" s="603"/>
      <c r="CV70" s="603"/>
      <c r="CW70" s="603"/>
      <c r="CX70" s="603"/>
      <c r="CY70" s="603"/>
      <c r="CZ70" s="603"/>
      <c r="DA70" s="603"/>
      <c r="DB70" s="603"/>
      <c r="DC70" s="603"/>
      <c r="DD70" s="603"/>
      <c r="DE70" s="603"/>
      <c r="DF70" s="603"/>
      <c r="DG70" s="603"/>
      <c r="DH70" s="603"/>
      <c r="DI70" s="603"/>
      <c r="DJ70" s="603"/>
      <c r="DK70" s="603"/>
      <c r="DL70" s="603"/>
      <c r="DM70" s="603"/>
      <c r="DN70" s="603"/>
      <c r="DO70" s="603"/>
      <c r="DP70" s="603"/>
      <c r="DQ70" s="603"/>
      <c r="DR70" s="603"/>
      <c r="DS70" s="603"/>
      <c r="DT70" s="603"/>
      <c r="DU70" s="603"/>
      <c r="DV70" s="603"/>
      <c r="DW70" s="603"/>
      <c r="DX70" s="603"/>
      <c r="DY70" s="603"/>
      <c r="DZ70" s="603"/>
      <c r="EA70" s="603"/>
      <c r="EB70" s="603"/>
    </row>
    <row r="71" spans="1:132" s="605" customFormat="1" ht="20.100000000000001" customHeight="1">
      <c r="A71" s="684" t="s">
        <v>25</v>
      </c>
      <c r="B71" s="685">
        <f>'예산세입(탄현)'!P43</f>
        <v>18000000</v>
      </c>
      <c r="C71" s="686">
        <f t="shared" si="5"/>
        <v>2.0647235782485503E-3</v>
      </c>
      <c r="D71" s="685">
        <f>'예산세입(탄현)'!Q43</f>
        <v>15000000</v>
      </c>
      <c r="E71" s="676">
        <f t="shared" si="22"/>
        <v>2.5749830780695386E-3</v>
      </c>
      <c r="F71" s="685">
        <f t="shared" si="29"/>
        <v>3000000</v>
      </c>
      <c r="G71" s="640">
        <f t="shared" si="28"/>
        <v>0.2</v>
      </c>
      <c r="H71" s="670"/>
      <c r="I71" s="752"/>
      <c r="J71" s="661"/>
      <c r="K71" s="661"/>
      <c r="L71" s="661"/>
      <c r="M71" s="661"/>
      <c r="N71" s="661"/>
      <c r="O71" s="661"/>
      <c r="P71" s="603"/>
      <c r="Q71" s="603"/>
      <c r="R71" s="603"/>
      <c r="S71" s="603"/>
      <c r="T71" s="603"/>
      <c r="U71" s="603"/>
      <c r="V71" s="603"/>
      <c r="W71" s="603"/>
      <c r="X71" s="603"/>
      <c r="Y71" s="603"/>
      <c r="Z71" s="603"/>
      <c r="AA71" s="603"/>
      <c r="AB71" s="603"/>
      <c r="AC71" s="603"/>
      <c r="AD71" s="603"/>
      <c r="AE71" s="603"/>
      <c r="AF71" s="603"/>
      <c r="AG71" s="603"/>
      <c r="AH71" s="603"/>
      <c r="AI71" s="603"/>
      <c r="AJ71" s="603"/>
      <c r="AK71" s="603"/>
      <c r="AL71" s="603"/>
      <c r="AM71" s="603"/>
      <c r="AN71" s="603"/>
      <c r="AO71" s="603"/>
      <c r="AP71" s="603"/>
      <c r="AQ71" s="603"/>
      <c r="AR71" s="603"/>
      <c r="AS71" s="603"/>
      <c r="AT71" s="603"/>
      <c r="AU71" s="603"/>
      <c r="AV71" s="603"/>
      <c r="AW71" s="603"/>
      <c r="AX71" s="603"/>
      <c r="AY71" s="603"/>
      <c r="AZ71" s="603"/>
      <c r="BA71" s="603"/>
      <c r="BB71" s="603"/>
      <c r="BC71" s="603"/>
      <c r="BD71" s="603"/>
      <c r="BE71" s="603"/>
      <c r="BF71" s="603"/>
      <c r="BG71" s="603"/>
      <c r="BH71" s="603"/>
      <c r="BI71" s="603"/>
      <c r="BJ71" s="603"/>
      <c r="BK71" s="603"/>
      <c r="BL71" s="603"/>
      <c r="BM71" s="603"/>
      <c r="BN71" s="603"/>
      <c r="BO71" s="603"/>
      <c r="BP71" s="603"/>
      <c r="BQ71" s="603"/>
      <c r="BR71" s="603"/>
      <c r="BS71" s="603"/>
      <c r="BT71" s="603"/>
      <c r="BU71" s="603"/>
      <c r="BV71" s="603"/>
      <c r="BW71" s="603"/>
      <c r="BX71" s="603"/>
      <c r="BY71" s="603"/>
      <c r="BZ71" s="603"/>
      <c r="CA71" s="603"/>
      <c r="CB71" s="603"/>
      <c r="CC71" s="603"/>
      <c r="CD71" s="603"/>
      <c r="CE71" s="603"/>
      <c r="CF71" s="603"/>
      <c r="CG71" s="603"/>
      <c r="CH71" s="603"/>
      <c r="CI71" s="603"/>
      <c r="CJ71" s="603"/>
      <c r="CK71" s="603"/>
      <c r="CL71" s="603"/>
      <c r="CM71" s="603"/>
      <c r="CN71" s="603"/>
      <c r="CO71" s="603"/>
      <c r="CP71" s="603"/>
      <c r="CQ71" s="603"/>
      <c r="CR71" s="603"/>
      <c r="CS71" s="603"/>
      <c r="CT71" s="603"/>
      <c r="CU71" s="603"/>
      <c r="CV71" s="603"/>
      <c r="CW71" s="603"/>
      <c r="CX71" s="603"/>
      <c r="CY71" s="603"/>
      <c r="CZ71" s="603"/>
      <c r="DA71" s="603"/>
      <c r="DB71" s="603"/>
      <c r="DC71" s="603"/>
      <c r="DD71" s="603"/>
      <c r="DE71" s="603"/>
      <c r="DF71" s="603"/>
      <c r="DG71" s="603"/>
      <c r="DH71" s="603"/>
      <c r="DI71" s="603"/>
      <c r="DJ71" s="603"/>
      <c r="DK71" s="603"/>
      <c r="DL71" s="603"/>
      <c r="DM71" s="603"/>
      <c r="DN71" s="603"/>
      <c r="DO71" s="603"/>
      <c r="DP71" s="603"/>
      <c r="DQ71" s="603"/>
      <c r="DR71" s="603"/>
      <c r="DS71" s="603"/>
      <c r="DT71" s="603"/>
      <c r="DU71" s="603"/>
      <c r="DV71" s="603"/>
      <c r="DW71" s="603"/>
      <c r="DX71" s="603"/>
      <c r="DY71" s="603"/>
      <c r="DZ71" s="603"/>
      <c r="EA71" s="603"/>
      <c r="EB71" s="603"/>
    </row>
    <row r="72" spans="1:132" s="605" customFormat="1" ht="20.100000000000001" customHeight="1">
      <c r="A72" s="635" t="s">
        <v>2432</v>
      </c>
      <c r="B72" s="685">
        <f>'예산세입(주교)'!P27</f>
        <v>10000</v>
      </c>
      <c r="C72" s="686">
        <f t="shared" si="5"/>
        <v>1.1470686545825279E-6</v>
      </c>
      <c r="D72" s="685">
        <f>'예산세입(주교)'!Q27</f>
        <v>1400000</v>
      </c>
      <c r="E72" s="676">
        <f t="shared" si="22"/>
        <v>2.4033175395315695E-4</v>
      </c>
      <c r="F72" s="685">
        <f t="shared" si="29"/>
        <v>-1390000</v>
      </c>
      <c r="G72" s="640">
        <f t="shared" si="28"/>
        <v>-0.99285714285714288</v>
      </c>
      <c r="H72" s="670"/>
      <c r="I72" s="752"/>
      <c r="J72" s="661"/>
      <c r="K72" s="661"/>
      <c r="L72" s="661"/>
      <c r="M72" s="661"/>
      <c r="N72" s="661"/>
      <c r="O72" s="661"/>
      <c r="P72" s="603"/>
      <c r="Q72" s="603"/>
      <c r="R72" s="603"/>
      <c r="S72" s="603"/>
      <c r="T72" s="603"/>
      <c r="U72" s="603"/>
      <c r="V72" s="603"/>
      <c r="W72" s="603"/>
      <c r="X72" s="603"/>
      <c r="Y72" s="603"/>
      <c r="Z72" s="603"/>
      <c r="AA72" s="603"/>
      <c r="AB72" s="603"/>
      <c r="AC72" s="603"/>
      <c r="AD72" s="603"/>
      <c r="AE72" s="603"/>
      <c r="AF72" s="603"/>
      <c r="AG72" s="603"/>
      <c r="AH72" s="603"/>
      <c r="AI72" s="603"/>
      <c r="AJ72" s="603"/>
      <c r="AK72" s="603"/>
      <c r="AL72" s="603"/>
      <c r="AM72" s="603"/>
      <c r="AN72" s="603"/>
      <c r="AO72" s="603"/>
      <c r="AP72" s="603"/>
      <c r="AQ72" s="603"/>
      <c r="AR72" s="603"/>
      <c r="AS72" s="603"/>
      <c r="AT72" s="603"/>
      <c r="AU72" s="603"/>
      <c r="AV72" s="603"/>
      <c r="AW72" s="603"/>
      <c r="AX72" s="603"/>
      <c r="AY72" s="603"/>
      <c r="AZ72" s="603"/>
      <c r="BA72" s="603"/>
      <c r="BB72" s="603"/>
      <c r="BC72" s="603"/>
      <c r="BD72" s="603"/>
      <c r="BE72" s="603"/>
      <c r="BF72" s="603"/>
      <c r="BG72" s="603"/>
      <c r="BH72" s="603"/>
      <c r="BI72" s="603"/>
      <c r="BJ72" s="603"/>
      <c r="BK72" s="603"/>
      <c r="BL72" s="603"/>
      <c r="BM72" s="603"/>
      <c r="BN72" s="603"/>
      <c r="BO72" s="603"/>
      <c r="BP72" s="603"/>
      <c r="BQ72" s="603"/>
      <c r="BR72" s="603"/>
      <c r="BS72" s="603"/>
      <c r="BT72" s="603"/>
      <c r="BU72" s="603"/>
      <c r="BV72" s="603"/>
      <c r="BW72" s="603"/>
      <c r="BX72" s="603"/>
      <c r="BY72" s="603"/>
      <c r="BZ72" s="603"/>
      <c r="CA72" s="603"/>
      <c r="CB72" s="603"/>
      <c r="CC72" s="603"/>
      <c r="CD72" s="603"/>
      <c r="CE72" s="603"/>
      <c r="CF72" s="603"/>
      <c r="CG72" s="603"/>
      <c r="CH72" s="603"/>
      <c r="CI72" s="603"/>
      <c r="CJ72" s="603"/>
      <c r="CK72" s="603"/>
      <c r="CL72" s="603"/>
      <c r="CM72" s="603"/>
      <c r="CN72" s="603"/>
      <c r="CO72" s="603"/>
      <c r="CP72" s="603"/>
      <c r="CQ72" s="603"/>
      <c r="CR72" s="603"/>
      <c r="CS72" s="603"/>
      <c r="CT72" s="603"/>
      <c r="CU72" s="603"/>
      <c r="CV72" s="603"/>
      <c r="CW72" s="603"/>
      <c r="CX72" s="603"/>
      <c r="CY72" s="603"/>
      <c r="CZ72" s="603"/>
      <c r="DA72" s="603"/>
      <c r="DB72" s="603"/>
      <c r="DC72" s="603"/>
      <c r="DD72" s="603"/>
      <c r="DE72" s="603"/>
      <c r="DF72" s="603"/>
      <c r="DG72" s="603"/>
      <c r="DH72" s="603"/>
      <c r="DI72" s="603"/>
      <c r="DJ72" s="603"/>
      <c r="DK72" s="603"/>
      <c r="DL72" s="603"/>
      <c r="DM72" s="603"/>
      <c r="DN72" s="603"/>
      <c r="DO72" s="603"/>
      <c r="DP72" s="603"/>
      <c r="DQ72" s="603"/>
      <c r="DR72" s="603"/>
      <c r="DS72" s="603"/>
      <c r="DT72" s="603"/>
      <c r="DU72" s="603"/>
      <c r="DV72" s="603"/>
      <c r="DW72" s="603"/>
      <c r="DX72" s="603"/>
      <c r="DY72" s="603"/>
      <c r="DZ72" s="603"/>
      <c r="EA72" s="603"/>
      <c r="EB72" s="603"/>
    </row>
    <row r="73" spans="1:132" s="605" customFormat="1" ht="20.100000000000001" customHeight="1">
      <c r="A73" s="684" t="s">
        <v>2127</v>
      </c>
      <c r="B73" s="685">
        <v>0</v>
      </c>
      <c r="C73" s="686">
        <f t="shared" si="5"/>
        <v>0</v>
      </c>
      <c r="D73" s="685">
        <v>0</v>
      </c>
      <c r="E73" s="676">
        <f t="shared" si="22"/>
        <v>0</v>
      </c>
      <c r="F73" s="685">
        <f t="shared" si="29"/>
        <v>0</v>
      </c>
      <c r="G73" s="640">
        <v>0</v>
      </c>
      <c r="H73" s="670"/>
      <c r="I73" s="752"/>
      <c r="J73" s="661"/>
      <c r="K73" s="661"/>
      <c r="L73" s="661"/>
      <c r="M73" s="661"/>
      <c r="N73" s="661"/>
      <c r="O73" s="661"/>
      <c r="P73" s="603"/>
      <c r="Q73" s="603"/>
      <c r="R73" s="603"/>
      <c r="S73" s="603"/>
      <c r="T73" s="603"/>
      <c r="U73" s="603"/>
      <c r="V73" s="603"/>
      <c r="W73" s="603"/>
      <c r="X73" s="603"/>
      <c r="Y73" s="603"/>
      <c r="Z73" s="603"/>
      <c r="AA73" s="603"/>
      <c r="AB73" s="603"/>
      <c r="AC73" s="603"/>
      <c r="AD73" s="603"/>
      <c r="AE73" s="603"/>
      <c r="AF73" s="603"/>
      <c r="AG73" s="603"/>
      <c r="AH73" s="603"/>
      <c r="AI73" s="603"/>
      <c r="AJ73" s="603"/>
      <c r="AK73" s="603"/>
      <c r="AL73" s="603"/>
      <c r="AM73" s="603"/>
      <c r="AN73" s="603"/>
      <c r="AO73" s="603"/>
      <c r="AP73" s="603"/>
      <c r="AQ73" s="603"/>
      <c r="AR73" s="603"/>
      <c r="AS73" s="603"/>
      <c r="AT73" s="603"/>
      <c r="AU73" s="603"/>
      <c r="AV73" s="603"/>
      <c r="AW73" s="603"/>
      <c r="AX73" s="603"/>
      <c r="AY73" s="603"/>
      <c r="AZ73" s="603"/>
      <c r="BA73" s="603"/>
      <c r="BB73" s="603"/>
      <c r="BC73" s="603"/>
      <c r="BD73" s="603"/>
      <c r="BE73" s="603"/>
      <c r="BF73" s="603"/>
      <c r="BG73" s="603"/>
      <c r="BH73" s="603"/>
      <c r="BI73" s="603"/>
      <c r="BJ73" s="603"/>
      <c r="BK73" s="603"/>
      <c r="BL73" s="603"/>
      <c r="BM73" s="603"/>
      <c r="BN73" s="603"/>
      <c r="BO73" s="603"/>
      <c r="BP73" s="603"/>
      <c r="BQ73" s="603"/>
      <c r="BR73" s="603"/>
      <c r="BS73" s="603"/>
      <c r="BT73" s="603"/>
      <c r="BU73" s="603"/>
      <c r="BV73" s="603"/>
      <c r="BW73" s="603"/>
      <c r="BX73" s="603"/>
      <c r="BY73" s="603"/>
      <c r="BZ73" s="603"/>
      <c r="CA73" s="603"/>
      <c r="CB73" s="603"/>
      <c r="CC73" s="603"/>
      <c r="CD73" s="603"/>
      <c r="CE73" s="603"/>
      <c r="CF73" s="603"/>
      <c r="CG73" s="603"/>
      <c r="CH73" s="603"/>
      <c r="CI73" s="603"/>
      <c r="CJ73" s="603"/>
      <c r="CK73" s="603"/>
      <c r="CL73" s="603"/>
      <c r="CM73" s="603"/>
      <c r="CN73" s="603"/>
      <c r="CO73" s="603"/>
      <c r="CP73" s="603"/>
      <c r="CQ73" s="603"/>
      <c r="CR73" s="603"/>
      <c r="CS73" s="603"/>
      <c r="CT73" s="603"/>
      <c r="CU73" s="603"/>
      <c r="CV73" s="603"/>
      <c r="CW73" s="603"/>
      <c r="CX73" s="603"/>
      <c r="CY73" s="603"/>
      <c r="CZ73" s="603"/>
      <c r="DA73" s="603"/>
      <c r="DB73" s="603"/>
      <c r="DC73" s="603"/>
      <c r="DD73" s="603"/>
      <c r="DE73" s="603"/>
      <c r="DF73" s="603"/>
      <c r="DG73" s="603"/>
      <c r="DH73" s="603"/>
      <c r="DI73" s="603"/>
      <c r="DJ73" s="603"/>
      <c r="DK73" s="603"/>
      <c r="DL73" s="603"/>
      <c r="DM73" s="603"/>
      <c r="DN73" s="603"/>
      <c r="DO73" s="603"/>
      <c r="DP73" s="603"/>
      <c r="DQ73" s="603"/>
      <c r="DR73" s="603"/>
      <c r="DS73" s="603"/>
      <c r="DT73" s="603"/>
      <c r="DU73" s="603"/>
      <c r="DV73" s="603"/>
      <c r="DW73" s="603"/>
      <c r="DX73" s="603"/>
      <c r="DY73" s="603"/>
      <c r="DZ73" s="603"/>
      <c r="EA73" s="603"/>
      <c r="EB73" s="603"/>
    </row>
    <row r="74" spans="1:132" s="605" customFormat="1" ht="20.100000000000001" customHeight="1">
      <c r="A74" s="684" t="s">
        <v>26</v>
      </c>
      <c r="B74" s="685">
        <v>0</v>
      </c>
      <c r="C74" s="686">
        <f t="shared" si="5"/>
        <v>0</v>
      </c>
      <c r="D74" s="685">
        <v>0</v>
      </c>
      <c r="E74" s="676">
        <f t="shared" si="22"/>
        <v>0</v>
      </c>
      <c r="F74" s="685">
        <f t="shared" si="29"/>
        <v>0</v>
      </c>
      <c r="G74" s="640">
        <v>0</v>
      </c>
      <c r="H74" s="670"/>
      <c r="I74" s="752"/>
      <c r="J74" s="661"/>
      <c r="K74" s="661"/>
      <c r="L74" s="661"/>
      <c r="M74" s="661"/>
      <c r="N74" s="661"/>
      <c r="O74" s="661"/>
      <c r="P74" s="603"/>
      <c r="Q74" s="603"/>
      <c r="R74" s="603"/>
      <c r="S74" s="603"/>
      <c r="T74" s="603"/>
      <c r="U74" s="603"/>
      <c r="V74" s="603"/>
      <c r="W74" s="603"/>
      <c r="X74" s="603"/>
      <c r="Y74" s="603"/>
      <c r="Z74" s="603"/>
      <c r="AA74" s="603"/>
      <c r="AB74" s="603"/>
      <c r="AC74" s="603"/>
      <c r="AD74" s="603"/>
      <c r="AE74" s="603"/>
      <c r="AF74" s="603"/>
      <c r="AG74" s="603"/>
      <c r="AH74" s="603"/>
      <c r="AI74" s="603"/>
      <c r="AJ74" s="603"/>
      <c r="AK74" s="603"/>
      <c r="AL74" s="603"/>
      <c r="AM74" s="603"/>
      <c r="AN74" s="603"/>
      <c r="AO74" s="603"/>
      <c r="AP74" s="603"/>
      <c r="AQ74" s="603"/>
      <c r="AR74" s="603"/>
      <c r="AS74" s="603"/>
      <c r="AT74" s="603"/>
      <c r="AU74" s="603"/>
      <c r="AV74" s="603"/>
      <c r="AW74" s="603"/>
      <c r="AX74" s="603"/>
      <c r="AY74" s="603"/>
      <c r="AZ74" s="603"/>
      <c r="BA74" s="603"/>
      <c r="BB74" s="603"/>
      <c r="BC74" s="603"/>
      <c r="BD74" s="603"/>
      <c r="BE74" s="603"/>
      <c r="BF74" s="603"/>
      <c r="BG74" s="603"/>
      <c r="BH74" s="603"/>
      <c r="BI74" s="603"/>
      <c r="BJ74" s="603"/>
      <c r="BK74" s="603"/>
      <c r="BL74" s="603"/>
      <c r="BM74" s="603"/>
      <c r="BN74" s="603"/>
      <c r="BO74" s="603"/>
      <c r="BP74" s="603"/>
      <c r="BQ74" s="603"/>
      <c r="BR74" s="603"/>
      <c r="BS74" s="603"/>
      <c r="BT74" s="603"/>
      <c r="BU74" s="603"/>
      <c r="BV74" s="603"/>
      <c r="BW74" s="603"/>
      <c r="BX74" s="603"/>
      <c r="BY74" s="603"/>
      <c r="BZ74" s="603"/>
      <c r="CA74" s="603"/>
      <c r="CB74" s="603"/>
      <c r="CC74" s="603"/>
      <c r="CD74" s="603"/>
      <c r="CE74" s="603"/>
      <c r="CF74" s="603"/>
      <c r="CG74" s="603"/>
      <c r="CH74" s="603"/>
      <c r="CI74" s="603"/>
      <c r="CJ74" s="603"/>
      <c r="CK74" s="603"/>
      <c r="CL74" s="603"/>
      <c r="CM74" s="603"/>
      <c r="CN74" s="603"/>
      <c r="CO74" s="603"/>
      <c r="CP74" s="603"/>
      <c r="CQ74" s="603"/>
      <c r="CR74" s="603"/>
      <c r="CS74" s="603"/>
      <c r="CT74" s="603"/>
      <c r="CU74" s="603"/>
      <c r="CV74" s="603"/>
      <c r="CW74" s="603"/>
      <c r="CX74" s="603"/>
      <c r="CY74" s="603"/>
      <c r="CZ74" s="603"/>
      <c r="DA74" s="603"/>
      <c r="DB74" s="603"/>
      <c r="DC74" s="603"/>
      <c r="DD74" s="603"/>
      <c r="DE74" s="603"/>
      <c r="DF74" s="603"/>
      <c r="DG74" s="603"/>
      <c r="DH74" s="603"/>
      <c r="DI74" s="603"/>
      <c r="DJ74" s="603"/>
      <c r="DK74" s="603"/>
      <c r="DL74" s="603"/>
      <c r="DM74" s="603"/>
      <c r="DN74" s="603"/>
      <c r="DO74" s="603"/>
      <c r="DP74" s="603"/>
      <c r="DQ74" s="603"/>
      <c r="DR74" s="603"/>
      <c r="DS74" s="603"/>
      <c r="DT74" s="603"/>
      <c r="DU74" s="603"/>
      <c r="DV74" s="603"/>
      <c r="DW74" s="603"/>
      <c r="DX74" s="603"/>
      <c r="DY74" s="603"/>
      <c r="DZ74" s="603"/>
      <c r="EA74" s="603"/>
      <c r="EB74" s="603"/>
    </row>
    <row r="75" spans="1:132" s="661" customFormat="1" ht="20.100000000000001" customHeight="1">
      <c r="A75" s="687" t="s">
        <v>2183</v>
      </c>
      <c r="B75" s="688">
        <f>SUM(B76)</f>
        <v>50000000</v>
      </c>
      <c r="C75" s="689">
        <f t="shared" si="5"/>
        <v>5.7353432729126391E-3</v>
      </c>
      <c r="D75" s="688">
        <f>SUM(D76)</f>
        <v>50000000</v>
      </c>
      <c r="E75" s="748">
        <f t="shared" si="22"/>
        <v>8.5832769268984616E-3</v>
      </c>
      <c r="F75" s="688">
        <f>SUM(F76)</f>
        <v>0</v>
      </c>
      <c r="G75" s="690">
        <f t="shared" si="28"/>
        <v>0</v>
      </c>
      <c r="H75" s="669"/>
      <c r="I75" s="752"/>
    </row>
    <row r="76" spans="1:132" s="661" customFormat="1" ht="20.100000000000001" customHeight="1" thickBot="1">
      <c r="A76" s="696" t="s">
        <v>26</v>
      </c>
      <c r="B76" s="753">
        <f>'예산세입(토당)'!P145</f>
        <v>50000000</v>
      </c>
      <c r="C76" s="754">
        <f t="shared" si="5"/>
        <v>5.7353432729126391E-3</v>
      </c>
      <c r="D76" s="753">
        <f>'예산세입(토당)'!Q145</f>
        <v>50000000</v>
      </c>
      <c r="E76" s="754">
        <f t="shared" si="22"/>
        <v>8.5832769268984616E-3</v>
      </c>
      <c r="F76" s="753">
        <f>+B76-D76</f>
        <v>0</v>
      </c>
      <c r="G76" s="755">
        <f>+F76/D76</f>
        <v>0</v>
      </c>
      <c r="H76" s="670"/>
      <c r="I76" s="752"/>
    </row>
    <row r="77" spans="1:132" s="661" customFormat="1" ht="16.5">
      <c r="A77" s="756"/>
      <c r="B77" s="757"/>
      <c r="C77" s="757"/>
      <c r="D77" s="757"/>
      <c r="E77" s="757"/>
      <c r="F77" s="758"/>
      <c r="I77" s="752"/>
    </row>
    <row r="78" spans="1:132" s="661" customFormat="1" ht="16.5">
      <c r="A78" s="756"/>
      <c r="B78" s="757"/>
      <c r="C78" s="757"/>
      <c r="D78" s="757"/>
      <c r="E78" s="757"/>
      <c r="F78" s="758"/>
      <c r="I78" s="752"/>
    </row>
    <row r="79" spans="1:132" s="661" customFormat="1" ht="16.5">
      <c r="A79" s="756"/>
      <c r="B79" s="757"/>
      <c r="C79" s="757"/>
      <c r="D79" s="757"/>
      <c r="E79" s="757"/>
      <c r="F79" s="758"/>
      <c r="I79" s="752"/>
    </row>
    <row r="80" spans="1:132" s="661" customFormat="1" ht="16.5">
      <c r="A80" s="756"/>
      <c r="B80" s="757"/>
      <c r="C80" s="757"/>
      <c r="D80" s="757"/>
      <c r="E80" s="757"/>
      <c r="F80" s="758"/>
      <c r="I80" s="752"/>
    </row>
    <row r="81" spans="1:9" s="661" customFormat="1" ht="16.5">
      <c r="A81" s="756"/>
      <c r="B81" s="1815"/>
      <c r="C81" s="757"/>
      <c r="D81" s="757"/>
      <c r="E81" s="757"/>
      <c r="F81" s="758"/>
      <c r="I81" s="752"/>
    </row>
    <row r="82" spans="1:9" s="661" customFormat="1" ht="16.5">
      <c r="A82" s="756"/>
      <c r="B82" s="757"/>
      <c r="C82" s="757"/>
      <c r="D82" s="757"/>
      <c r="E82" s="757"/>
      <c r="F82" s="758"/>
      <c r="I82" s="752"/>
    </row>
    <row r="83" spans="1:9" s="661" customFormat="1" ht="16.5">
      <c r="A83" s="756"/>
      <c r="B83" s="757"/>
      <c r="C83" s="757"/>
      <c r="D83" s="757"/>
      <c r="E83" s="757"/>
      <c r="F83" s="758"/>
      <c r="I83" s="752"/>
    </row>
    <row r="84" spans="1:9" s="661" customFormat="1" ht="16.5">
      <c r="A84" s="756"/>
      <c r="B84" s="757"/>
      <c r="C84" s="757"/>
      <c r="D84" s="757"/>
      <c r="E84" s="757"/>
      <c r="F84" s="758"/>
      <c r="I84" s="752"/>
    </row>
    <row r="85" spans="1:9" s="661" customFormat="1" ht="16.5">
      <c r="A85" s="756"/>
      <c r="B85" s="757"/>
      <c r="C85" s="757"/>
      <c r="D85" s="757"/>
      <c r="E85" s="757"/>
      <c r="F85" s="758"/>
      <c r="I85" s="752"/>
    </row>
    <row r="86" spans="1:9" s="661" customFormat="1" ht="16.5">
      <c r="A86" s="756"/>
      <c r="B86" s="757"/>
      <c r="C86" s="757"/>
      <c r="D86" s="757"/>
      <c r="E86" s="757"/>
      <c r="F86" s="758"/>
      <c r="I86" s="752"/>
    </row>
    <row r="87" spans="1:9" s="661" customFormat="1" ht="16.5">
      <c r="A87" s="756"/>
      <c r="B87" s="757"/>
      <c r="C87" s="757"/>
      <c r="D87" s="757"/>
      <c r="E87" s="757"/>
      <c r="F87" s="758"/>
      <c r="I87" s="752"/>
    </row>
    <row r="88" spans="1:9" s="661" customFormat="1" ht="16.5">
      <c r="A88" s="756"/>
      <c r="B88" s="757"/>
      <c r="C88" s="757"/>
      <c r="D88" s="757"/>
      <c r="E88" s="757"/>
      <c r="F88" s="758"/>
      <c r="I88" s="752"/>
    </row>
    <row r="89" spans="1:9" s="661" customFormat="1" ht="16.5">
      <c r="A89" s="756"/>
      <c r="B89" s="757"/>
      <c r="C89" s="757"/>
      <c r="D89" s="757"/>
      <c r="E89" s="757"/>
      <c r="F89" s="758"/>
      <c r="I89" s="752"/>
    </row>
    <row r="90" spans="1:9" s="661" customFormat="1" ht="16.5">
      <c r="A90" s="756"/>
      <c r="B90" s="757"/>
      <c r="C90" s="757"/>
      <c r="D90" s="757"/>
      <c r="E90" s="757"/>
      <c r="F90" s="758"/>
      <c r="I90" s="752"/>
    </row>
    <row r="91" spans="1:9" s="661" customFormat="1" ht="16.5">
      <c r="A91" s="756"/>
      <c r="B91" s="757"/>
      <c r="C91" s="757"/>
      <c r="D91" s="757"/>
      <c r="E91" s="757"/>
      <c r="F91" s="758"/>
      <c r="I91" s="752"/>
    </row>
    <row r="92" spans="1:9" s="661" customFormat="1" ht="16.5">
      <c r="A92" s="756"/>
      <c r="B92" s="757"/>
      <c r="C92" s="757"/>
      <c r="D92" s="757"/>
      <c r="E92" s="757"/>
      <c r="F92" s="758"/>
      <c r="I92" s="752"/>
    </row>
    <row r="93" spans="1:9" s="661" customFormat="1" ht="16.5">
      <c r="A93" s="756"/>
      <c r="B93" s="757"/>
      <c r="C93" s="757"/>
      <c r="D93" s="757"/>
      <c r="E93" s="757"/>
      <c r="F93" s="758"/>
      <c r="I93" s="752"/>
    </row>
    <row r="94" spans="1:9" s="661" customFormat="1" ht="16.5">
      <c r="A94" s="756"/>
      <c r="B94" s="757"/>
      <c r="C94" s="757"/>
      <c r="D94" s="757"/>
      <c r="E94" s="757"/>
      <c r="F94" s="758"/>
      <c r="I94" s="752"/>
    </row>
    <row r="95" spans="1:9" s="661" customFormat="1" ht="16.5">
      <c r="A95" s="756"/>
      <c r="B95" s="757"/>
      <c r="C95" s="757"/>
      <c r="D95" s="757"/>
      <c r="E95" s="757"/>
      <c r="F95" s="758"/>
      <c r="I95" s="752"/>
    </row>
    <row r="96" spans="1:9" s="661" customFormat="1" ht="16.5">
      <c r="A96" s="756"/>
      <c r="B96" s="757"/>
      <c r="C96" s="757"/>
      <c r="D96" s="757"/>
      <c r="E96" s="757"/>
      <c r="F96" s="758"/>
      <c r="I96" s="752"/>
    </row>
    <row r="97" spans="1:9" s="661" customFormat="1" ht="16.5">
      <c r="A97" s="756"/>
      <c r="B97" s="757"/>
      <c r="C97" s="757"/>
      <c r="D97" s="757"/>
      <c r="E97" s="757"/>
      <c r="F97" s="758"/>
      <c r="I97" s="752"/>
    </row>
    <row r="98" spans="1:9" s="661" customFormat="1" ht="16.5">
      <c r="A98" s="756"/>
      <c r="B98" s="757"/>
      <c r="C98" s="757"/>
      <c r="D98" s="757"/>
      <c r="E98" s="757"/>
      <c r="F98" s="758"/>
      <c r="I98" s="752"/>
    </row>
    <row r="99" spans="1:9" s="661" customFormat="1" ht="16.5">
      <c r="A99" s="756"/>
      <c r="B99" s="757"/>
      <c r="C99" s="757"/>
      <c r="D99" s="757"/>
      <c r="E99" s="757"/>
      <c r="F99" s="758"/>
      <c r="I99" s="752"/>
    </row>
    <row r="100" spans="1:9" s="661" customFormat="1" ht="16.5">
      <c r="A100" s="756"/>
      <c r="B100" s="757"/>
      <c r="C100" s="757"/>
      <c r="D100" s="757"/>
      <c r="E100" s="757"/>
      <c r="F100" s="758"/>
      <c r="I100" s="752"/>
    </row>
    <row r="101" spans="1:9" s="661" customFormat="1" ht="16.5">
      <c r="A101" s="756"/>
      <c r="B101" s="757"/>
      <c r="C101" s="757"/>
      <c r="D101" s="757"/>
      <c r="E101" s="757"/>
      <c r="F101" s="758"/>
      <c r="I101" s="752"/>
    </row>
    <row r="102" spans="1:9" s="661" customFormat="1" ht="16.5">
      <c r="A102" s="756"/>
      <c r="B102" s="757"/>
      <c r="C102" s="757"/>
      <c r="D102" s="757"/>
      <c r="E102" s="757"/>
      <c r="F102" s="758"/>
      <c r="I102" s="752"/>
    </row>
    <row r="103" spans="1:9" s="661" customFormat="1" ht="16.5">
      <c r="A103" s="756"/>
      <c r="B103" s="757"/>
      <c r="C103" s="757"/>
      <c r="D103" s="757"/>
      <c r="E103" s="757"/>
      <c r="F103" s="758"/>
      <c r="I103" s="752"/>
    </row>
    <row r="104" spans="1:9" s="661" customFormat="1" ht="16.5">
      <c r="A104" s="756"/>
      <c r="B104" s="757"/>
      <c r="C104" s="757"/>
      <c r="D104" s="757"/>
      <c r="E104" s="757"/>
      <c r="F104" s="758"/>
      <c r="I104" s="752"/>
    </row>
    <row r="105" spans="1:9" s="661" customFormat="1" ht="16.5">
      <c r="A105" s="756"/>
      <c r="B105" s="757"/>
      <c r="C105" s="757"/>
      <c r="D105" s="757"/>
      <c r="E105" s="757"/>
      <c r="F105" s="758"/>
      <c r="I105" s="752"/>
    </row>
    <row r="106" spans="1:9" s="661" customFormat="1" ht="16.5">
      <c r="A106" s="756"/>
      <c r="B106" s="757"/>
      <c r="C106" s="757"/>
      <c r="D106" s="757"/>
      <c r="E106" s="757"/>
      <c r="F106" s="758"/>
      <c r="I106" s="752"/>
    </row>
    <row r="107" spans="1:9" s="661" customFormat="1" ht="16.5">
      <c r="A107" s="756"/>
      <c r="B107" s="757"/>
      <c r="C107" s="757"/>
      <c r="D107" s="757"/>
      <c r="E107" s="757"/>
      <c r="F107" s="758"/>
      <c r="I107" s="752"/>
    </row>
    <row r="108" spans="1:9" s="661" customFormat="1" ht="16.5">
      <c r="A108" s="756"/>
      <c r="B108" s="757"/>
      <c r="C108" s="757"/>
      <c r="D108" s="757"/>
      <c r="E108" s="757"/>
      <c r="F108" s="758"/>
      <c r="I108" s="752"/>
    </row>
    <row r="109" spans="1:9" s="661" customFormat="1" ht="21.75" customHeight="1">
      <c r="A109" s="756"/>
      <c r="B109" s="757"/>
      <c r="C109" s="757"/>
      <c r="D109" s="757"/>
      <c r="E109" s="757"/>
      <c r="F109" s="758"/>
      <c r="I109" s="752"/>
    </row>
    <row r="110" spans="1:9" s="661" customFormat="1" ht="21.75" customHeight="1">
      <c r="A110" s="756"/>
      <c r="B110" s="757"/>
      <c r="C110" s="757"/>
      <c r="D110" s="757"/>
      <c r="E110" s="757"/>
      <c r="F110" s="758"/>
      <c r="I110" s="752"/>
    </row>
    <row r="111" spans="1:9" s="661" customFormat="1" ht="21.75" customHeight="1">
      <c r="A111" s="756"/>
      <c r="B111" s="757"/>
      <c r="C111" s="757"/>
      <c r="D111" s="757"/>
      <c r="E111" s="757"/>
      <c r="F111" s="758"/>
      <c r="I111" s="752"/>
    </row>
    <row r="112" spans="1:9" s="661" customFormat="1" ht="21.75" customHeight="1">
      <c r="A112" s="756"/>
      <c r="B112" s="757"/>
      <c r="C112" s="757"/>
      <c r="D112" s="757"/>
      <c r="E112" s="757"/>
      <c r="F112" s="758"/>
      <c r="I112" s="752"/>
    </row>
    <row r="113" spans="1:9" s="661" customFormat="1" ht="21.75" customHeight="1">
      <c r="A113" s="756"/>
      <c r="B113" s="757"/>
      <c r="C113" s="757"/>
      <c r="D113" s="757"/>
      <c r="E113" s="757"/>
      <c r="F113" s="758"/>
      <c r="I113" s="752"/>
    </row>
    <row r="114" spans="1:9" s="661" customFormat="1" ht="21.75" customHeight="1">
      <c r="A114" s="756"/>
      <c r="B114" s="757"/>
      <c r="C114" s="757"/>
      <c r="D114" s="757"/>
      <c r="E114" s="757"/>
      <c r="F114" s="758"/>
      <c r="I114" s="752"/>
    </row>
    <row r="115" spans="1:9" s="661" customFormat="1" ht="21.75" customHeight="1">
      <c r="A115" s="756"/>
      <c r="B115" s="757"/>
      <c r="C115" s="757"/>
      <c r="D115" s="757"/>
      <c r="E115" s="757"/>
      <c r="F115" s="758"/>
      <c r="I115" s="752"/>
    </row>
    <row r="116" spans="1:9" s="661" customFormat="1" ht="21.75" customHeight="1">
      <c r="A116" s="756"/>
      <c r="B116" s="757"/>
      <c r="C116" s="757"/>
      <c r="D116" s="757"/>
      <c r="E116" s="757"/>
      <c r="F116" s="758"/>
      <c r="I116" s="752"/>
    </row>
    <row r="117" spans="1:9" s="661" customFormat="1" ht="21.75" customHeight="1">
      <c r="A117" s="756"/>
      <c r="B117" s="757"/>
      <c r="C117" s="757"/>
      <c r="D117" s="757"/>
      <c r="E117" s="757"/>
      <c r="F117" s="758"/>
      <c r="I117" s="752"/>
    </row>
    <row r="118" spans="1:9" s="661" customFormat="1" ht="21.75" customHeight="1">
      <c r="A118" s="756"/>
      <c r="B118" s="757"/>
      <c r="C118" s="757"/>
      <c r="D118" s="757"/>
      <c r="E118" s="757"/>
      <c r="F118" s="758"/>
      <c r="I118" s="752"/>
    </row>
    <row r="119" spans="1:9" s="661" customFormat="1" ht="21.75" customHeight="1">
      <c r="A119" s="756"/>
      <c r="B119" s="757"/>
      <c r="C119" s="757"/>
      <c r="D119" s="757"/>
      <c r="E119" s="757"/>
      <c r="F119" s="758"/>
      <c r="I119" s="752"/>
    </row>
    <row r="120" spans="1:9" s="661" customFormat="1" ht="21.75" customHeight="1">
      <c r="A120" s="756"/>
      <c r="B120" s="757"/>
      <c r="C120" s="757"/>
      <c r="D120" s="757"/>
      <c r="E120" s="757"/>
      <c r="F120" s="758"/>
      <c r="I120" s="752"/>
    </row>
    <row r="121" spans="1:9" s="661" customFormat="1" ht="21.75" customHeight="1">
      <c r="A121" s="756"/>
      <c r="B121" s="757"/>
      <c r="C121" s="757"/>
      <c r="D121" s="757"/>
      <c r="E121" s="757"/>
      <c r="F121" s="758"/>
      <c r="I121" s="752"/>
    </row>
    <row r="122" spans="1:9" s="661" customFormat="1" ht="21.75" customHeight="1">
      <c r="A122" s="756"/>
      <c r="B122" s="757"/>
      <c r="C122" s="757"/>
      <c r="D122" s="757"/>
      <c r="E122" s="757"/>
      <c r="F122" s="758"/>
      <c r="I122" s="752"/>
    </row>
    <row r="123" spans="1:9" s="661" customFormat="1" ht="21.75" customHeight="1">
      <c r="A123" s="756"/>
      <c r="B123" s="757"/>
      <c r="C123" s="757"/>
      <c r="D123" s="757"/>
      <c r="E123" s="757"/>
      <c r="F123" s="758"/>
      <c r="I123" s="752"/>
    </row>
    <row r="124" spans="1:9" s="661" customFormat="1" ht="21.75" customHeight="1">
      <c r="A124" s="756"/>
      <c r="B124" s="757"/>
      <c r="C124" s="757"/>
      <c r="D124" s="757"/>
      <c r="E124" s="757"/>
      <c r="F124" s="758"/>
      <c r="I124" s="752"/>
    </row>
    <row r="125" spans="1:9" s="661" customFormat="1" ht="21.75" customHeight="1">
      <c r="A125" s="756"/>
      <c r="B125" s="757"/>
      <c r="C125" s="757"/>
      <c r="D125" s="757"/>
      <c r="E125" s="757"/>
      <c r="F125" s="758"/>
      <c r="I125" s="752"/>
    </row>
    <row r="126" spans="1:9" s="661" customFormat="1" ht="21.75" customHeight="1">
      <c r="A126" s="756"/>
      <c r="B126" s="757"/>
      <c r="C126" s="757"/>
      <c r="D126" s="757"/>
      <c r="E126" s="757"/>
      <c r="F126" s="758"/>
      <c r="I126" s="752"/>
    </row>
    <row r="127" spans="1:9" s="661" customFormat="1" ht="21.75" customHeight="1">
      <c r="A127" s="756"/>
      <c r="B127" s="757"/>
      <c r="C127" s="757"/>
      <c r="D127" s="757"/>
      <c r="E127" s="757"/>
      <c r="F127" s="758"/>
      <c r="I127" s="752"/>
    </row>
    <row r="128" spans="1:9" s="661" customFormat="1" ht="21.75" customHeight="1">
      <c r="A128" s="756"/>
      <c r="B128" s="757"/>
      <c r="C128" s="757"/>
      <c r="D128" s="757"/>
      <c r="E128" s="757"/>
      <c r="F128" s="758"/>
      <c r="I128" s="752"/>
    </row>
    <row r="129" spans="1:9" s="661" customFormat="1" ht="21.75" customHeight="1">
      <c r="A129" s="756"/>
      <c r="B129" s="757"/>
      <c r="C129" s="757"/>
      <c r="D129" s="757"/>
      <c r="E129" s="757"/>
      <c r="F129" s="758"/>
      <c r="I129" s="752"/>
    </row>
    <row r="130" spans="1:9" s="661" customFormat="1" ht="21.75" customHeight="1">
      <c r="A130" s="756"/>
      <c r="B130" s="757"/>
      <c r="C130" s="757"/>
      <c r="D130" s="757"/>
      <c r="E130" s="757"/>
      <c r="F130" s="758"/>
      <c r="I130" s="752"/>
    </row>
    <row r="131" spans="1:9" s="661" customFormat="1" ht="21.75" customHeight="1">
      <c r="A131" s="756"/>
      <c r="B131" s="757"/>
      <c r="C131" s="757"/>
      <c r="D131" s="757"/>
      <c r="E131" s="757"/>
      <c r="F131" s="758"/>
      <c r="I131" s="752"/>
    </row>
    <row r="132" spans="1:9" s="661" customFormat="1" ht="21.75" customHeight="1">
      <c r="A132" s="756"/>
      <c r="B132" s="757"/>
      <c r="C132" s="757"/>
      <c r="D132" s="757"/>
      <c r="E132" s="757"/>
      <c r="F132" s="758"/>
      <c r="I132" s="752"/>
    </row>
    <row r="133" spans="1:9" s="661" customFormat="1" ht="21.75" customHeight="1">
      <c r="A133" s="756"/>
      <c r="B133" s="757"/>
      <c r="C133" s="757"/>
      <c r="D133" s="757"/>
      <c r="E133" s="757"/>
      <c r="F133" s="758"/>
      <c r="I133" s="752"/>
    </row>
    <row r="134" spans="1:9" s="661" customFormat="1" ht="21.75" customHeight="1">
      <c r="A134" s="756"/>
      <c r="B134" s="757"/>
      <c r="C134" s="757"/>
      <c r="D134" s="757"/>
      <c r="E134" s="757"/>
      <c r="F134" s="758"/>
      <c r="I134" s="752"/>
    </row>
    <row r="135" spans="1:9" s="661" customFormat="1" ht="21.75" customHeight="1">
      <c r="A135" s="756"/>
      <c r="B135" s="757"/>
      <c r="C135" s="757"/>
      <c r="D135" s="757"/>
      <c r="E135" s="757"/>
      <c r="F135" s="758"/>
      <c r="I135" s="752"/>
    </row>
    <row r="136" spans="1:9" s="661" customFormat="1" ht="21.75" customHeight="1">
      <c r="A136" s="756"/>
      <c r="B136" s="757"/>
      <c r="C136" s="757"/>
      <c r="D136" s="757"/>
      <c r="E136" s="757"/>
      <c r="F136" s="758"/>
      <c r="I136" s="752"/>
    </row>
    <row r="137" spans="1:9" s="661" customFormat="1" ht="21.75" customHeight="1">
      <c r="A137" s="756"/>
      <c r="B137" s="757"/>
      <c r="C137" s="757"/>
      <c r="D137" s="757"/>
      <c r="E137" s="757"/>
      <c r="F137" s="758"/>
      <c r="I137" s="752"/>
    </row>
    <row r="138" spans="1:9" s="661" customFormat="1" ht="21.75" customHeight="1">
      <c r="A138" s="756"/>
      <c r="B138" s="757"/>
      <c r="C138" s="757"/>
      <c r="D138" s="757"/>
      <c r="E138" s="757"/>
      <c r="F138" s="758"/>
      <c r="I138" s="752"/>
    </row>
    <row r="139" spans="1:9" s="661" customFormat="1" ht="21.75" customHeight="1">
      <c r="A139" s="756"/>
      <c r="B139" s="757"/>
      <c r="C139" s="757"/>
      <c r="D139" s="757"/>
      <c r="E139" s="757"/>
      <c r="F139" s="758"/>
      <c r="I139" s="752"/>
    </row>
    <row r="140" spans="1:9" s="661" customFormat="1" ht="21.75" customHeight="1">
      <c r="A140" s="756"/>
      <c r="B140" s="757"/>
      <c r="C140" s="757"/>
      <c r="D140" s="757"/>
      <c r="E140" s="757"/>
      <c r="F140" s="758"/>
      <c r="I140" s="752"/>
    </row>
    <row r="141" spans="1:9" s="661" customFormat="1" ht="21.75" customHeight="1">
      <c r="A141" s="756"/>
      <c r="B141" s="757"/>
      <c r="C141" s="757"/>
      <c r="D141" s="757"/>
      <c r="E141" s="757"/>
      <c r="F141" s="758"/>
      <c r="I141" s="752"/>
    </row>
    <row r="142" spans="1:9" s="661" customFormat="1" ht="21.75" customHeight="1">
      <c r="A142" s="756"/>
      <c r="B142" s="757"/>
      <c r="C142" s="757"/>
      <c r="D142" s="757"/>
      <c r="E142" s="757"/>
      <c r="F142" s="758"/>
      <c r="I142" s="752"/>
    </row>
    <row r="143" spans="1:9" s="661" customFormat="1" ht="21.75" customHeight="1">
      <c r="A143" s="756"/>
      <c r="B143" s="757"/>
      <c r="C143" s="757"/>
      <c r="D143" s="757"/>
      <c r="E143" s="757"/>
      <c r="F143" s="758"/>
      <c r="I143" s="752"/>
    </row>
    <row r="144" spans="1:9" s="661" customFormat="1" ht="21.75" customHeight="1">
      <c r="A144" s="756"/>
      <c r="B144" s="757"/>
      <c r="C144" s="757"/>
      <c r="D144" s="757"/>
      <c r="E144" s="757"/>
      <c r="F144" s="758"/>
      <c r="I144" s="752"/>
    </row>
    <row r="145" spans="1:9" s="661" customFormat="1" ht="21.75" customHeight="1">
      <c r="A145" s="756"/>
      <c r="B145" s="757"/>
      <c r="C145" s="757"/>
      <c r="D145" s="757"/>
      <c r="E145" s="757"/>
      <c r="F145" s="758"/>
      <c r="I145" s="752"/>
    </row>
    <row r="146" spans="1:9" s="661" customFormat="1" ht="21.75" customHeight="1">
      <c r="A146" s="756"/>
      <c r="B146" s="757"/>
      <c r="C146" s="757"/>
      <c r="D146" s="757"/>
      <c r="E146" s="757"/>
      <c r="F146" s="758"/>
      <c r="I146" s="752"/>
    </row>
    <row r="147" spans="1:9" s="661" customFormat="1" ht="21.75" customHeight="1">
      <c r="A147" s="756"/>
      <c r="B147" s="757"/>
      <c r="C147" s="757"/>
      <c r="D147" s="757"/>
      <c r="E147" s="757"/>
      <c r="F147" s="758"/>
      <c r="I147" s="752"/>
    </row>
    <row r="148" spans="1:9" s="661" customFormat="1" ht="21.75" customHeight="1">
      <c r="A148" s="756"/>
      <c r="B148" s="757"/>
      <c r="C148" s="757"/>
      <c r="D148" s="757"/>
      <c r="E148" s="757"/>
      <c r="F148" s="758"/>
      <c r="I148" s="752"/>
    </row>
    <row r="149" spans="1:9" s="661" customFormat="1" ht="21.75" customHeight="1">
      <c r="A149" s="756"/>
      <c r="B149" s="757"/>
      <c r="C149" s="757"/>
      <c r="D149" s="757"/>
      <c r="E149" s="757"/>
      <c r="F149" s="758"/>
      <c r="I149" s="752"/>
    </row>
    <row r="150" spans="1:9" s="661" customFormat="1" ht="21.75" customHeight="1">
      <c r="A150" s="756"/>
      <c r="B150" s="757"/>
      <c r="C150" s="757"/>
      <c r="D150" s="757"/>
      <c r="E150" s="757"/>
      <c r="F150" s="758"/>
      <c r="I150" s="752"/>
    </row>
    <row r="151" spans="1:9" s="661" customFormat="1" ht="21.75" customHeight="1">
      <c r="A151" s="756"/>
      <c r="B151" s="757"/>
      <c r="C151" s="757"/>
      <c r="D151" s="757"/>
      <c r="E151" s="757"/>
      <c r="F151" s="758"/>
      <c r="I151" s="752"/>
    </row>
    <row r="152" spans="1:9" s="661" customFormat="1" ht="21.75" customHeight="1">
      <c r="A152" s="756"/>
      <c r="B152" s="757"/>
      <c r="C152" s="757"/>
      <c r="D152" s="757"/>
      <c r="E152" s="757"/>
      <c r="F152" s="758"/>
      <c r="I152" s="752"/>
    </row>
    <row r="153" spans="1:9" s="661" customFormat="1" ht="21.75" customHeight="1">
      <c r="A153" s="756"/>
      <c r="B153" s="757"/>
      <c r="C153" s="757"/>
      <c r="D153" s="757"/>
      <c r="E153" s="757"/>
      <c r="F153" s="758"/>
      <c r="I153" s="752"/>
    </row>
    <row r="154" spans="1:9" s="661" customFormat="1" ht="21.75" customHeight="1">
      <c r="A154" s="756"/>
      <c r="B154" s="757"/>
      <c r="C154" s="757"/>
      <c r="D154" s="757"/>
      <c r="E154" s="757"/>
      <c r="F154" s="758"/>
      <c r="I154" s="752"/>
    </row>
    <row r="155" spans="1:9" s="661" customFormat="1" ht="21.75" customHeight="1">
      <c r="A155" s="756"/>
      <c r="B155" s="757"/>
      <c r="C155" s="757"/>
      <c r="D155" s="757"/>
      <c r="E155" s="757"/>
      <c r="F155" s="758"/>
      <c r="I155" s="752"/>
    </row>
    <row r="156" spans="1:9" s="661" customFormat="1" ht="21.75" customHeight="1">
      <c r="A156" s="756"/>
      <c r="B156" s="757"/>
      <c r="C156" s="757"/>
      <c r="D156" s="757"/>
      <c r="E156" s="757"/>
      <c r="F156" s="758"/>
      <c r="I156" s="752"/>
    </row>
    <row r="157" spans="1:9" s="661" customFormat="1" ht="21.75" customHeight="1">
      <c r="A157" s="756"/>
      <c r="B157" s="757"/>
      <c r="C157" s="757"/>
      <c r="D157" s="757"/>
      <c r="E157" s="757"/>
      <c r="F157" s="758"/>
      <c r="I157" s="752"/>
    </row>
    <row r="158" spans="1:9" s="661" customFormat="1" ht="21.75" customHeight="1">
      <c r="A158" s="756"/>
      <c r="B158" s="757"/>
      <c r="C158" s="757"/>
      <c r="D158" s="757"/>
      <c r="E158" s="757"/>
      <c r="F158" s="758"/>
      <c r="I158" s="752"/>
    </row>
    <row r="159" spans="1:9" s="661" customFormat="1" ht="21.75" customHeight="1">
      <c r="A159" s="756"/>
      <c r="B159" s="757"/>
      <c r="C159" s="757"/>
      <c r="D159" s="757"/>
      <c r="E159" s="757"/>
      <c r="F159" s="758"/>
      <c r="I159" s="752"/>
    </row>
    <row r="160" spans="1:9" s="661" customFormat="1" ht="21.75" customHeight="1">
      <c r="A160" s="756"/>
      <c r="B160" s="757"/>
      <c r="C160" s="757"/>
      <c r="D160" s="757"/>
      <c r="E160" s="757"/>
      <c r="F160" s="758"/>
      <c r="I160" s="752"/>
    </row>
    <row r="161" spans="1:9" s="661" customFormat="1" ht="21.75" customHeight="1">
      <c r="A161" s="756"/>
      <c r="B161" s="757"/>
      <c r="C161" s="757"/>
      <c r="D161" s="757"/>
      <c r="E161" s="757"/>
      <c r="F161" s="758"/>
      <c r="I161" s="752"/>
    </row>
    <row r="162" spans="1:9" s="661" customFormat="1" ht="21.75" customHeight="1">
      <c r="A162" s="756"/>
      <c r="B162" s="757"/>
      <c r="C162" s="757"/>
      <c r="D162" s="757"/>
      <c r="E162" s="757"/>
      <c r="F162" s="758"/>
      <c r="I162" s="752"/>
    </row>
    <row r="163" spans="1:9" s="661" customFormat="1" ht="21.75" customHeight="1">
      <c r="A163" s="756"/>
      <c r="B163" s="757"/>
      <c r="C163" s="757"/>
      <c r="D163" s="757"/>
      <c r="E163" s="757"/>
      <c r="F163" s="758"/>
      <c r="I163" s="752"/>
    </row>
    <row r="164" spans="1:9" s="661" customFormat="1" ht="21.75" customHeight="1">
      <c r="A164" s="756"/>
      <c r="B164" s="757"/>
      <c r="C164" s="757"/>
      <c r="D164" s="757"/>
      <c r="E164" s="757"/>
      <c r="F164" s="758"/>
      <c r="I164" s="752"/>
    </row>
    <row r="165" spans="1:9" s="661" customFormat="1" ht="21.75" customHeight="1">
      <c r="A165" s="756"/>
      <c r="B165" s="757"/>
      <c r="C165" s="757"/>
      <c r="D165" s="757"/>
      <c r="E165" s="757"/>
      <c r="F165" s="758"/>
      <c r="I165" s="752"/>
    </row>
    <row r="166" spans="1:9" s="661" customFormat="1" ht="21.75" customHeight="1">
      <c r="A166" s="756"/>
      <c r="B166" s="757"/>
      <c r="C166" s="757"/>
      <c r="D166" s="757"/>
      <c r="E166" s="757"/>
      <c r="F166" s="758"/>
      <c r="I166" s="752"/>
    </row>
    <row r="167" spans="1:9" s="661" customFormat="1" ht="21.75" customHeight="1">
      <c r="A167" s="756"/>
      <c r="B167" s="757"/>
      <c r="C167" s="757"/>
      <c r="D167" s="757"/>
      <c r="E167" s="757"/>
      <c r="F167" s="758"/>
      <c r="I167" s="752"/>
    </row>
    <row r="168" spans="1:9" s="661" customFormat="1" ht="21.75" customHeight="1">
      <c r="A168" s="756"/>
      <c r="B168" s="757"/>
      <c r="C168" s="757"/>
      <c r="D168" s="757"/>
      <c r="E168" s="757"/>
      <c r="F168" s="758"/>
      <c r="I168" s="752"/>
    </row>
    <row r="169" spans="1:9" s="661" customFormat="1" ht="21.75" customHeight="1">
      <c r="A169" s="756"/>
      <c r="B169" s="757"/>
      <c r="C169" s="757"/>
      <c r="D169" s="757"/>
      <c r="E169" s="757"/>
      <c r="F169" s="758"/>
      <c r="I169" s="752"/>
    </row>
    <row r="170" spans="1:9" s="661" customFormat="1" ht="21.75" customHeight="1">
      <c r="A170" s="756"/>
      <c r="B170" s="757"/>
      <c r="C170" s="757"/>
      <c r="D170" s="757"/>
      <c r="E170" s="757"/>
      <c r="F170" s="758"/>
      <c r="I170" s="752"/>
    </row>
    <row r="171" spans="1:9" s="661" customFormat="1" ht="21.75" customHeight="1">
      <c r="A171" s="756"/>
      <c r="B171" s="757"/>
      <c r="C171" s="757"/>
      <c r="D171" s="757"/>
      <c r="E171" s="757"/>
      <c r="F171" s="758"/>
      <c r="I171" s="752"/>
    </row>
    <row r="172" spans="1:9" s="661" customFormat="1" ht="21.75" customHeight="1">
      <c r="A172" s="756"/>
      <c r="B172" s="757"/>
      <c r="C172" s="757"/>
      <c r="D172" s="757"/>
      <c r="E172" s="757"/>
      <c r="F172" s="758"/>
      <c r="I172" s="752"/>
    </row>
    <row r="173" spans="1:9" s="661" customFormat="1" ht="21.75" customHeight="1">
      <c r="A173" s="756"/>
      <c r="B173" s="757"/>
      <c r="C173" s="757"/>
      <c r="D173" s="757"/>
      <c r="E173" s="757"/>
      <c r="F173" s="758"/>
      <c r="I173" s="752"/>
    </row>
    <row r="174" spans="1:9" s="661" customFormat="1" ht="21.75" customHeight="1">
      <c r="A174" s="756"/>
      <c r="B174" s="757"/>
      <c r="C174" s="757"/>
      <c r="D174" s="757"/>
      <c r="E174" s="757"/>
      <c r="F174" s="758"/>
      <c r="I174" s="752"/>
    </row>
    <row r="175" spans="1:9" s="661" customFormat="1" ht="21.75" customHeight="1">
      <c r="A175" s="756"/>
      <c r="B175" s="757"/>
      <c r="C175" s="757"/>
      <c r="D175" s="757"/>
      <c r="E175" s="757"/>
      <c r="F175" s="758"/>
      <c r="I175" s="752"/>
    </row>
    <row r="176" spans="1:9" s="661" customFormat="1" ht="21.75" customHeight="1">
      <c r="A176" s="756"/>
      <c r="B176" s="757"/>
      <c r="C176" s="757"/>
      <c r="D176" s="757"/>
      <c r="E176" s="757"/>
      <c r="F176" s="758"/>
      <c r="I176" s="752"/>
    </row>
    <row r="177" spans="1:9" s="661" customFormat="1" ht="21.75" customHeight="1">
      <c r="A177" s="756"/>
      <c r="B177" s="757"/>
      <c r="C177" s="757"/>
      <c r="D177" s="757"/>
      <c r="E177" s="757"/>
      <c r="F177" s="758"/>
      <c r="I177" s="752"/>
    </row>
    <row r="178" spans="1:9" s="661" customFormat="1" ht="21.75" customHeight="1">
      <c r="A178" s="756"/>
      <c r="B178" s="757"/>
      <c r="C178" s="757"/>
      <c r="D178" s="757"/>
      <c r="E178" s="757"/>
      <c r="F178" s="758"/>
      <c r="I178" s="752"/>
    </row>
    <row r="179" spans="1:9" s="661" customFormat="1" ht="21.75" customHeight="1">
      <c r="A179" s="756"/>
      <c r="B179" s="757"/>
      <c r="C179" s="757"/>
      <c r="D179" s="757"/>
      <c r="E179" s="757"/>
      <c r="F179" s="758"/>
      <c r="I179" s="752"/>
    </row>
    <row r="180" spans="1:9" s="661" customFormat="1" ht="21.75" customHeight="1">
      <c r="A180" s="756"/>
      <c r="B180" s="757"/>
      <c r="C180" s="757"/>
      <c r="D180" s="757"/>
      <c r="E180" s="757"/>
      <c r="F180" s="758"/>
      <c r="I180" s="752"/>
    </row>
    <row r="181" spans="1:9" s="661" customFormat="1" ht="21.75" customHeight="1">
      <c r="A181" s="756"/>
      <c r="B181" s="757"/>
      <c r="C181" s="757"/>
      <c r="D181" s="757"/>
      <c r="E181" s="757"/>
      <c r="F181" s="758"/>
      <c r="I181" s="752"/>
    </row>
    <row r="182" spans="1:9" s="661" customFormat="1" ht="21.75" customHeight="1">
      <c r="A182" s="756"/>
      <c r="B182" s="757"/>
      <c r="C182" s="757"/>
      <c r="D182" s="757"/>
      <c r="E182" s="757"/>
      <c r="F182" s="758"/>
      <c r="I182" s="752"/>
    </row>
    <row r="183" spans="1:9" s="661" customFormat="1" ht="21.75" customHeight="1">
      <c r="A183" s="756"/>
      <c r="B183" s="757"/>
      <c r="C183" s="757"/>
      <c r="D183" s="757"/>
      <c r="E183" s="757"/>
      <c r="F183" s="758"/>
      <c r="I183" s="752"/>
    </row>
    <row r="184" spans="1:9" s="661" customFormat="1" ht="21.75" customHeight="1">
      <c r="A184" s="756"/>
      <c r="B184" s="757"/>
      <c r="C184" s="757"/>
      <c r="D184" s="757"/>
      <c r="E184" s="757"/>
      <c r="F184" s="758"/>
      <c r="I184" s="752"/>
    </row>
  </sheetData>
  <sheetProtection algorithmName="SHA-512" hashValue="FsaB7SSBgyrnCm9j/smfAW1jPrYn+Nq+PoWBc3dMBkuugEqGF6SiVcpmyx8SgbeUFcZzlqxiHVFGZOnn22CgNQ==" saltValue="ZPVvV6tXmjt33zrb3dotFg==" spinCount="100000" sheet="1" objects="1" scenarios="1"/>
  <mergeCells count="9">
    <mergeCell ref="A5:A6"/>
    <mergeCell ref="B5:C5"/>
    <mergeCell ref="D5:E5"/>
    <mergeCell ref="F5:G5"/>
    <mergeCell ref="A1:G1"/>
    <mergeCell ref="A2:G2"/>
    <mergeCell ref="A3:C3"/>
    <mergeCell ref="F3:G3"/>
    <mergeCell ref="A4:G4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scale="30" firstPageNumber="7" orientation="landscape" useFirstPageNumber="1" r:id="rId1"/>
  <headerFooter alignWithMargins="0">
    <oddFooter>&amp;C&amp;P</oddFooter>
  </headerFooter>
  <rowBreaks count="1" manualBreakCount="1">
    <brk id="43" max="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EZ134"/>
  <sheetViews>
    <sheetView view="pageBreakPreview" zoomScaleNormal="100" zoomScaleSheetLayoutView="100" workbookViewId="0">
      <selection activeCell="A7" sqref="A7"/>
    </sheetView>
  </sheetViews>
  <sheetFormatPr defaultColWidth="9" defaultRowHeight="21.75" customHeight="1"/>
  <cols>
    <col min="1" max="1" width="30.625" style="705" customWidth="1"/>
    <col min="2" max="2" width="15.625" style="706" customWidth="1"/>
    <col min="3" max="3" width="10.625" style="706" customWidth="1"/>
    <col min="4" max="4" width="15.625" style="707" customWidth="1"/>
    <col min="5" max="5" width="10.625" style="705" customWidth="1"/>
    <col min="6" max="6" width="15.625" style="705" customWidth="1"/>
    <col min="7" max="7" width="10.625" style="705" customWidth="1"/>
    <col min="8" max="16384" width="9" style="705"/>
  </cols>
  <sheetData>
    <row r="1" spans="1:156" s="598" customFormat="1" ht="34.5" customHeight="1">
      <c r="A1" s="1882" t="s">
        <v>2429</v>
      </c>
      <c r="B1" s="1882"/>
      <c r="C1" s="1882"/>
      <c r="D1" s="1882"/>
      <c r="E1" s="1882"/>
      <c r="F1" s="1882"/>
      <c r="G1" s="1882"/>
      <c r="H1" s="597"/>
      <c r="I1" s="597"/>
      <c r="J1" s="597"/>
      <c r="K1" s="597"/>
      <c r="L1" s="597"/>
      <c r="M1" s="597"/>
      <c r="N1" s="597"/>
      <c r="O1" s="597"/>
      <c r="P1" s="597"/>
      <c r="Q1" s="597"/>
      <c r="R1" s="597"/>
      <c r="S1" s="597"/>
      <c r="T1" s="597"/>
      <c r="U1" s="597"/>
      <c r="V1" s="597"/>
      <c r="W1" s="597"/>
      <c r="X1" s="597"/>
      <c r="Y1" s="597"/>
      <c r="Z1" s="597"/>
      <c r="AA1" s="597"/>
      <c r="AB1" s="597"/>
      <c r="AC1" s="597"/>
      <c r="AD1" s="597"/>
      <c r="AE1" s="597"/>
      <c r="AF1" s="597"/>
      <c r="AG1" s="597"/>
      <c r="AH1" s="597"/>
      <c r="AI1" s="597"/>
      <c r="AJ1" s="597"/>
      <c r="AK1" s="597"/>
      <c r="AL1" s="597"/>
      <c r="AM1" s="597"/>
      <c r="AN1" s="597"/>
      <c r="AO1" s="597"/>
      <c r="AP1" s="597"/>
      <c r="AQ1" s="597"/>
      <c r="AR1" s="597"/>
      <c r="AS1" s="597"/>
      <c r="AT1" s="597"/>
      <c r="AU1" s="597"/>
      <c r="AV1" s="597"/>
      <c r="AW1" s="597"/>
      <c r="AX1" s="597"/>
      <c r="AY1" s="597"/>
      <c r="AZ1" s="597"/>
      <c r="BA1" s="597"/>
      <c r="BB1" s="597"/>
      <c r="BC1" s="597"/>
      <c r="BD1" s="597"/>
      <c r="BE1" s="597"/>
      <c r="BF1" s="597"/>
      <c r="BG1" s="597"/>
      <c r="BH1" s="597"/>
      <c r="BI1" s="597"/>
      <c r="BJ1" s="597"/>
      <c r="BK1" s="597"/>
      <c r="BL1" s="597"/>
      <c r="BM1" s="597"/>
      <c r="BN1" s="597"/>
      <c r="BO1" s="597"/>
      <c r="BP1" s="597"/>
      <c r="BQ1" s="597"/>
      <c r="BR1" s="597"/>
      <c r="BS1" s="597"/>
      <c r="BT1" s="597"/>
      <c r="BU1" s="597"/>
      <c r="BV1" s="597"/>
      <c r="BW1" s="597"/>
      <c r="BX1" s="597"/>
      <c r="BY1" s="597"/>
      <c r="BZ1" s="597"/>
      <c r="CA1" s="597"/>
      <c r="CB1" s="597"/>
      <c r="CC1" s="597"/>
      <c r="CD1" s="597"/>
      <c r="CE1" s="597"/>
      <c r="CF1" s="597"/>
      <c r="CG1" s="597"/>
      <c r="CH1" s="597"/>
      <c r="CI1" s="597"/>
      <c r="CJ1" s="597"/>
      <c r="CK1" s="597"/>
      <c r="CL1" s="597"/>
      <c r="CM1" s="597"/>
      <c r="CN1" s="597"/>
      <c r="CO1" s="597"/>
      <c r="CP1" s="597"/>
      <c r="CQ1" s="597"/>
      <c r="CR1" s="597"/>
      <c r="CS1" s="597"/>
      <c r="CT1" s="597"/>
      <c r="CU1" s="597"/>
      <c r="CV1" s="597"/>
      <c r="CW1" s="597"/>
      <c r="CX1" s="597"/>
      <c r="CY1" s="597"/>
      <c r="CZ1" s="597"/>
      <c r="DA1" s="597"/>
      <c r="DB1" s="597"/>
      <c r="DC1" s="597"/>
      <c r="DD1" s="597"/>
      <c r="DE1" s="597"/>
      <c r="DF1" s="597"/>
      <c r="DG1" s="597"/>
      <c r="DH1" s="597"/>
      <c r="DI1" s="597"/>
      <c r="DJ1" s="597"/>
      <c r="DK1" s="597"/>
      <c r="DL1" s="597"/>
      <c r="DM1" s="597"/>
      <c r="DN1" s="597"/>
      <c r="DO1" s="597"/>
      <c r="DP1" s="597"/>
      <c r="DQ1" s="597"/>
      <c r="DR1" s="597"/>
      <c r="DS1" s="597"/>
      <c r="DT1" s="597"/>
      <c r="DU1" s="597"/>
      <c r="DV1" s="597"/>
      <c r="DW1" s="597"/>
      <c r="DX1" s="597"/>
      <c r="DY1" s="597"/>
      <c r="DZ1" s="597"/>
      <c r="EA1" s="597"/>
      <c r="EB1" s="597"/>
      <c r="EC1" s="597"/>
      <c r="ED1" s="597"/>
      <c r="EE1" s="597"/>
      <c r="EF1" s="597"/>
      <c r="EG1" s="597"/>
      <c r="EH1" s="597"/>
      <c r="EI1" s="597"/>
      <c r="EJ1" s="597"/>
      <c r="EK1" s="597"/>
      <c r="EL1" s="597"/>
      <c r="EM1" s="597"/>
      <c r="EN1" s="597"/>
      <c r="EO1" s="597"/>
      <c r="EP1" s="597"/>
      <c r="EQ1" s="597"/>
      <c r="ER1" s="597"/>
      <c r="ES1" s="597"/>
      <c r="ET1" s="597"/>
      <c r="EU1" s="597"/>
      <c r="EV1" s="597"/>
      <c r="EW1" s="597"/>
      <c r="EX1" s="597"/>
      <c r="EY1" s="597"/>
      <c r="EZ1" s="597"/>
    </row>
    <row r="2" spans="1:156" s="598" customFormat="1" ht="17.25" customHeight="1">
      <c r="A2" s="1892"/>
      <c r="B2" s="1892"/>
      <c r="C2" s="1892"/>
      <c r="D2" s="1892"/>
      <c r="E2" s="1892"/>
      <c r="F2" s="1892"/>
      <c r="G2" s="1892"/>
      <c r="H2" s="597"/>
      <c r="I2" s="597"/>
      <c r="J2" s="597"/>
      <c r="K2" s="597"/>
      <c r="L2" s="597"/>
      <c r="M2" s="597"/>
      <c r="N2" s="597"/>
      <c r="O2" s="597"/>
      <c r="P2" s="597"/>
      <c r="Q2" s="597"/>
      <c r="R2" s="597"/>
      <c r="S2" s="597"/>
      <c r="T2" s="597"/>
      <c r="U2" s="597"/>
      <c r="V2" s="597"/>
      <c r="W2" s="597"/>
      <c r="X2" s="597"/>
      <c r="Y2" s="597"/>
      <c r="Z2" s="597"/>
      <c r="AA2" s="597"/>
      <c r="AB2" s="597"/>
      <c r="AC2" s="597"/>
      <c r="AD2" s="597"/>
      <c r="AE2" s="597"/>
      <c r="AF2" s="597"/>
      <c r="AG2" s="597"/>
      <c r="AH2" s="597"/>
      <c r="AI2" s="597"/>
      <c r="AJ2" s="597"/>
      <c r="AK2" s="597"/>
      <c r="AL2" s="597"/>
      <c r="AM2" s="597"/>
      <c r="AN2" s="597"/>
      <c r="AO2" s="597"/>
      <c r="AP2" s="597"/>
      <c r="AQ2" s="597"/>
      <c r="AR2" s="597"/>
      <c r="AS2" s="597"/>
      <c r="AT2" s="597"/>
      <c r="AU2" s="597"/>
      <c r="AV2" s="597"/>
      <c r="AW2" s="597"/>
      <c r="AX2" s="597"/>
      <c r="AY2" s="597"/>
      <c r="AZ2" s="597"/>
      <c r="BA2" s="597"/>
      <c r="BB2" s="597"/>
      <c r="BC2" s="597"/>
      <c r="BD2" s="597"/>
      <c r="BE2" s="597"/>
      <c r="BF2" s="597"/>
      <c r="BG2" s="597"/>
      <c r="BH2" s="597"/>
      <c r="BI2" s="597"/>
      <c r="BJ2" s="597"/>
      <c r="BK2" s="597"/>
      <c r="BL2" s="597"/>
      <c r="BM2" s="597"/>
      <c r="BN2" s="597"/>
      <c r="BO2" s="597"/>
      <c r="BP2" s="597"/>
      <c r="BQ2" s="597"/>
      <c r="BR2" s="597"/>
      <c r="BS2" s="597"/>
      <c r="BT2" s="597"/>
      <c r="BU2" s="597"/>
      <c r="BV2" s="597"/>
      <c r="BW2" s="597"/>
      <c r="BX2" s="597"/>
      <c r="BY2" s="597"/>
      <c r="BZ2" s="597"/>
      <c r="CA2" s="597"/>
      <c r="CB2" s="597"/>
      <c r="CC2" s="597"/>
      <c r="CD2" s="597"/>
      <c r="CE2" s="597"/>
      <c r="CF2" s="597"/>
      <c r="CG2" s="597"/>
      <c r="CH2" s="597"/>
      <c r="CI2" s="597"/>
      <c r="CJ2" s="597"/>
      <c r="CK2" s="597"/>
      <c r="CL2" s="597"/>
      <c r="CM2" s="597"/>
      <c r="CN2" s="597"/>
      <c r="CO2" s="597"/>
      <c r="CP2" s="597"/>
      <c r="CQ2" s="597"/>
      <c r="CR2" s="597"/>
      <c r="CS2" s="597"/>
      <c r="CT2" s="597"/>
      <c r="CU2" s="597"/>
      <c r="CV2" s="597"/>
      <c r="CW2" s="597"/>
      <c r="CX2" s="597"/>
      <c r="CY2" s="597"/>
      <c r="CZ2" s="597"/>
      <c r="DA2" s="597"/>
      <c r="DB2" s="597"/>
      <c r="DC2" s="597"/>
      <c r="DD2" s="597"/>
      <c r="DE2" s="597"/>
      <c r="DF2" s="597"/>
      <c r="DG2" s="597"/>
      <c r="DH2" s="597"/>
      <c r="DI2" s="597"/>
      <c r="DJ2" s="597"/>
      <c r="DK2" s="597"/>
      <c r="DL2" s="597"/>
      <c r="DM2" s="597"/>
      <c r="DN2" s="597"/>
      <c r="DO2" s="597"/>
      <c r="DP2" s="597"/>
      <c r="DQ2" s="597"/>
      <c r="DR2" s="597"/>
      <c r="DS2" s="597"/>
      <c r="DT2" s="597"/>
      <c r="DU2" s="597"/>
      <c r="DV2" s="597"/>
      <c r="DW2" s="597"/>
      <c r="DX2" s="597"/>
      <c r="DY2" s="597"/>
      <c r="DZ2" s="597"/>
      <c r="EA2" s="597"/>
      <c r="EB2" s="597"/>
      <c r="EC2" s="597"/>
      <c r="ED2" s="597"/>
      <c r="EE2" s="597"/>
      <c r="EF2" s="597"/>
      <c r="EG2" s="597"/>
      <c r="EH2" s="597"/>
      <c r="EI2" s="597"/>
      <c r="EJ2" s="597"/>
      <c r="EK2" s="597"/>
      <c r="EL2" s="597"/>
      <c r="EM2" s="597"/>
      <c r="EN2" s="597"/>
      <c r="EO2" s="597"/>
      <c r="EP2" s="597"/>
      <c r="EQ2" s="597"/>
      <c r="ER2" s="597"/>
      <c r="ES2" s="597"/>
      <c r="ET2" s="597"/>
      <c r="EU2" s="597"/>
      <c r="EV2" s="597"/>
      <c r="EW2" s="597"/>
      <c r="EX2" s="597"/>
      <c r="EY2" s="597"/>
      <c r="EZ2" s="597"/>
    </row>
    <row r="3" spans="1:156" s="598" customFormat="1" ht="21.75" customHeight="1" thickBot="1">
      <c r="A3" s="599"/>
      <c r="B3" s="599"/>
      <c r="C3" s="599"/>
      <c r="D3" s="599"/>
      <c r="E3" s="599"/>
      <c r="F3" s="1894" t="s">
        <v>39</v>
      </c>
      <c r="G3" s="1894"/>
      <c r="H3" s="597"/>
      <c r="I3" s="597"/>
      <c r="J3" s="597"/>
      <c r="K3" s="597"/>
      <c r="L3" s="597"/>
      <c r="M3" s="597"/>
      <c r="N3" s="597"/>
      <c r="O3" s="597"/>
      <c r="P3" s="597"/>
      <c r="Q3" s="597"/>
      <c r="R3" s="597"/>
      <c r="S3" s="597"/>
      <c r="T3" s="597"/>
      <c r="U3" s="597"/>
      <c r="V3" s="597"/>
      <c r="W3" s="597"/>
      <c r="X3" s="597"/>
      <c r="Y3" s="597"/>
      <c r="Z3" s="597"/>
      <c r="AA3" s="597"/>
      <c r="AB3" s="597"/>
      <c r="AC3" s="597"/>
      <c r="AD3" s="597"/>
      <c r="AE3" s="597"/>
      <c r="AF3" s="597"/>
      <c r="AG3" s="597"/>
      <c r="AH3" s="597"/>
      <c r="AI3" s="597"/>
      <c r="AJ3" s="597"/>
      <c r="AK3" s="597"/>
      <c r="AL3" s="597"/>
      <c r="AM3" s="597"/>
      <c r="AN3" s="597"/>
      <c r="AO3" s="597"/>
      <c r="AP3" s="597"/>
      <c r="AQ3" s="597"/>
      <c r="AR3" s="597"/>
      <c r="AS3" s="597"/>
      <c r="AT3" s="597"/>
      <c r="AU3" s="597"/>
      <c r="AV3" s="597"/>
      <c r="AW3" s="597"/>
      <c r="AX3" s="597"/>
      <c r="AY3" s="597"/>
      <c r="AZ3" s="597"/>
      <c r="BA3" s="597"/>
      <c r="BB3" s="597"/>
      <c r="BC3" s="597"/>
      <c r="BD3" s="597"/>
      <c r="BE3" s="597"/>
      <c r="BF3" s="597"/>
      <c r="BG3" s="597"/>
      <c r="BH3" s="597"/>
      <c r="BI3" s="597"/>
      <c r="BJ3" s="597"/>
      <c r="BK3" s="597"/>
      <c r="BL3" s="597"/>
      <c r="BM3" s="597"/>
      <c r="BN3" s="597"/>
      <c r="BO3" s="597"/>
      <c r="BP3" s="597"/>
      <c r="BQ3" s="597"/>
      <c r="BR3" s="597"/>
      <c r="BS3" s="597"/>
      <c r="BT3" s="597"/>
      <c r="BU3" s="597"/>
      <c r="BV3" s="597"/>
      <c r="BW3" s="597"/>
      <c r="BX3" s="597"/>
      <c r="BY3" s="597"/>
      <c r="BZ3" s="597"/>
      <c r="CA3" s="597"/>
      <c r="CB3" s="597"/>
      <c r="CC3" s="597"/>
      <c r="CD3" s="597"/>
      <c r="CE3" s="597"/>
      <c r="CF3" s="597"/>
      <c r="CG3" s="597"/>
      <c r="CH3" s="597"/>
      <c r="CI3" s="597"/>
      <c r="CJ3" s="597"/>
      <c r="CK3" s="597"/>
      <c r="CL3" s="597"/>
      <c r="CM3" s="597"/>
      <c r="CN3" s="597"/>
      <c r="CO3" s="597"/>
      <c r="CP3" s="597"/>
      <c r="CQ3" s="597"/>
      <c r="CR3" s="597"/>
      <c r="CS3" s="597"/>
      <c r="CT3" s="597"/>
      <c r="CU3" s="597"/>
      <c r="CV3" s="597"/>
      <c r="CW3" s="597"/>
      <c r="CX3" s="597"/>
      <c r="CY3" s="597"/>
      <c r="CZ3" s="597"/>
      <c r="DA3" s="597"/>
      <c r="DB3" s="597"/>
      <c r="DC3" s="597"/>
      <c r="DD3" s="597"/>
      <c r="DE3" s="597"/>
      <c r="DF3" s="597"/>
      <c r="DG3" s="597"/>
      <c r="DH3" s="597"/>
      <c r="DI3" s="597"/>
      <c r="DJ3" s="597"/>
      <c r="DK3" s="597"/>
      <c r="DL3" s="597"/>
      <c r="DM3" s="597"/>
      <c r="DN3" s="597"/>
      <c r="DO3" s="597"/>
      <c r="DP3" s="597"/>
      <c r="DQ3" s="597"/>
      <c r="DR3" s="597"/>
      <c r="DS3" s="597"/>
      <c r="DT3" s="597"/>
      <c r="DU3" s="597"/>
      <c r="DV3" s="597"/>
      <c r="DW3" s="597"/>
      <c r="DX3" s="597"/>
      <c r="DY3" s="597"/>
      <c r="DZ3" s="597"/>
      <c r="EA3" s="597"/>
      <c r="EB3" s="597"/>
      <c r="EC3" s="597"/>
      <c r="ED3" s="597"/>
      <c r="EE3" s="597"/>
      <c r="EF3" s="597"/>
      <c r="EG3" s="597"/>
      <c r="EH3" s="597"/>
      <c r="EI3" s="597"/>
      <c r="EJ3" s="597"/>
      <c r="EK3" s="597"/>
      <c r="EL3" s="597"/>
      <c r="EM3" s="597"/>
      <c r="EN3" s="597"/>
      <c r="EO3" s="597"/>
      <c r="EP3" s="597"/>
      <c r="EQ3" s="597"/>
      <c r="ER3" s="597"/>
      <c r="ES3" s="597"/>
      <c r="ET3" s="597"/>
      <c r="EU3" s="597"/>
      <c r="EV3" s="597"/>
      <c r="EW3" s="597"/>
      <c r="EX3" s="597"/>
      <c r="EY3" s="597"/>
      <c r="EZ3" s="597"/>
    </row>
    <row r="4" spans="1:156" s="598" customFormat="1" ht="20.100000000000001" customHeight="1">
      <c r="A4" s="1898" t="s">
        <v>40</v>
      </c>
      <c r="B4" s="1899"/>
      <c r="C4" s="1899"/>
      <c r="D4" s="1899"/>
      <c r="E4" s="1899"/>
      <c r="F4" s="1899"/>
      <c r="G4" s="1900"/>
      <c r="H4" s="597"/>
      <c r="I4" s="597"/>
      <c r="J4" s="597"/>
      <c r="K4" s="597"/>
      <c r="L4" s="597"/>
      <c r="M4" s="597"/>
      <c r="N4" s="597"/>
      <c r="O4" s="597"/>
      <c r="P4" s="597"/>
      <c r="Q4" s="597"/>
      <c r="R4" s="597"/>
      <c r="S4" s="597"/>
      <c r="T4" s="597"/>
      <c r="U4" s="597"/>
      <c r="V4" s="597"/>
      <c r="W4" s="597"/>
      <c r="X4" s="597"/>
      <c r="Y4" s="597"/>
      <c r="Z4" s="597"/>
      <c r="AA4" s="597"/>
      <c r="AB4" s="597"/>
      <c r="AC4" s="597"/>
      <c r="AD4" s="597"/>
      <c r="AE4" s="597"/>
      <c r="AF4" s="597"/>
      <c r="AG4" s="597"/>
      <c r="AH4" s="597"/>
      <c r="AI4" s="597"/>
      <c r="AJ4" s="597"/>
      <c r="AK4" s="597"/>
      <c r="AL4" s="597"/>
      <c r="AM4" s="597"/>
      <c r="AN4" s="597"/>
      <c r="AO4" s="597"/>
      <c r="AP4" s="597"/>
      <c r="AQ4" s="597"/>
      <c r="AR4" s="597"/>
      <c r="AS4" s="597"/>
      <c r="AT4" s="597"/>
      <c r="AU4" s="597"/>
      <c r="AV4" s="597"/>
      <c r="AW4" s="597"/>
      <c r="AX4" s="597"/>
      <c r="AY4" s="597"/>
      <c r="AZ4" s="597"/>
      <c r="BA4" s="597"/>
      <c r="BB4" s="597"/>
      <c r="BC4" s="597"/>
      <c r="BD4" s="597"/>
      <c r="BE4" s="597"/>
      <c r="BF4" s="597"/>
      <c r="BG4" s="597"/>
      <c r="BH4" s="597"/>
      <c r="BI4" s="597"/>
      <c r="BJ4" s="597"/>
      <c r="BK4" s="597"/>
      <c r="BL4" s="597"/>
      <c r="BM4" s="597"/>
      <c r="BN4" s="597"/>
      <c r="BO4" s="597"/>
      <c r="BP4" s="597"/>
      <c r="BQ4" s="597"/>
      <c r="BR4" s="597"/>
      <c r="BS4" s="597"/>
      <c r="BT4" s="597"/>
      <c r="BU4" s="597"/>
      <c r="BV4" s="597"/>
      <c r="BW4" s="597"/>
      <c r="BX4" s="597"/>
      <c r="BY4" s="597"/>
      <c r="BZ4" s="597"/>
      <c r="CA4" s="597"/>
      <c r="CB4" s="597"/>
      <c r="CC4" s="597"/>
      <c r="CD4" s="597"/>
      <c r="CE4" s="597"/>
      <c r="CF4" s="597"/>
      <c r="CG4" s="597"/>
      <c r="CH4" s="597"/>
      <c r="CI4" s="597"/>
      <c r="CJ4" s="597"/>
      <c r="CK4" s="597"/>
      <c r="CL4" s="597"/>
      <c r="CM4" s="597"/>
      <c r="CN4" s="597"/>
      <c r="CO4" s="597"/>
      <c r="CP4" s="597"/>
      <c r="CQ4" s="597"/>
      <c r="CR4" s="597"/>
      <c r="CS4" s="597"/>
      <c r="CT4" s="597"/>
      <c r="CU4" s="597"/>
      <c r="CV4" s="597"/>
      <c r="CW4" s="597"/>
      <c r="CX4" s="597"/>
      <c r="CY4" s="597"/>
      <c r="CZ4" s="597"/>
      <c r="DA4" s="597"/>
      <c r="DB4" s="597"/>
      <c r="DC4" s="597"/>
      <c r="DD4" s="597"/>
      <c r="DE4" s="597"/>
      <c r="DF4" s="597"/>
      <c r="DG4" s="597"/>
      <c r="DH4" s="597"/>
      <c r="DI4" s="597"/>
      <c r="DJ4" s="597"/>
      <c r="DK4" s="597"/>
      <c r="DL4" s="597"/>
      <c r="DM4" s="597"/>
      <c r="DN4" s="597"/>
      <c r="DO4" s="597"/>
      <c r="DP4" s="597"/>
      <c r="DQ4" s="597"/>
      <c r="DR4" s="597"/>
      <c r="DS4" s="597"/>
      <c r="DT4" s="597"/>
      <c r="DU4" s="597"/>
      <c r="DV4" s="597"/>
      <c r="DW4" s="597"/>
      <c r="DX4" s="597"/>
      <c r="DY4" s="597"/>
      <c r="DZ4" s="597"/>
      <c r="EA4" s="597"/>
      <c r="EB4" s="597"/>
      <c r="EC4" s="597"/>
      <c r="ED4" s="597"/>
      <c r="EE4" s="597"/>
      <c r="EF4" s="597"/>
      <c r="EG4" s="597"/>
      <c r="EH4" s="597"/>
      <c r="EI4" s="597"/>
      <c r="EJ4" s="597"/>
      <c r="EK4" s="597"/>
      <c r="EL4" s="597"/>
      <c r="EM4" s="597"/>
      <c r="EN4" s="597"/>
      <c r="EO4" s="597"/>
      <c r="EP4" s="597"/>
      <c r="EQ4" s="597"/>
      <c r="ER4" s="597"/>
      <c r="ES4" s="597"/>
      <c r="ET4" s="597"/>
      <c r="EU4" s="597"/>
      <c r="EV4" s="597"/>
      <c r="EW4" s="597"/>
      <c r="EX4" s="597"/>
      <c r="EY4" s="597"/>
      <c r="EZ4" s="597"/>
    </row>
    <row r="5" spans="1:156" s="605" customFormat="1" ht="20.100000000000001" customHeight="1">
      <c r="A5" s="1901" t="s">
        <v>41</v>
      </c>
      <c r="B5" s="1903" t="s">
        <v>1619</v>
      </c>
      <c r="C5" s="1903"/>
      <c r="D5" s="1903" t="s">
        <v>1620</v>
      </c>
      <c r="E5" s="1903"/>
      <c r="F5" s="1903" t="s">
        <v>42</v>
      </c>
      <c r="G5" s="1904"/>
      <c r="H5" s="603"/>
      <c r="I5" s="603"/>
      <c r="J5" s="603"/>
      <c r="K5" s="603"/>
      <c r="L5" s="603"/>
      <c r="M5" s="603"/>
      <c r="N5" s="603"/>
      <c r="O5" s="603"/>
      <c r="P5" s="603"/>
      <c r="Q5" s="603"/>
      <c r="R5" s="603"/>
      <c r="S5" s="603"/>
      <c r="T5" s="603"/>
      <c r="U5" s="603"/>
      <c r="V5" s="603"/>
      <c r="W5" s="603"/>
      <c r="X5" s="603"/>
      <c r="Y5" s="603"/>
      <c r="Z5" s="603"/>
      <c r="AA5" s="603"/>
      <c r="AB5" s="603"/>
      <c r="AC5" s="603"/>
      <c r="AD5" s="603"/>
      <c r="AE5" s="603"/>
      <c r="AF5" s="603"/>
      <c r="AG5" s="603"/>
      <c r="AH5" s="603"/>
      <c r="AI5" s="603"/>
      <c r="AJ5" s="603"/>
      <c r="AK5" s="603"/>
      <c r="AL5" s="603"/>
      <c r="AM5" s="603"/>
      <c r="AN5" s="603"/>
      <c r="AO5" s="603"/>
      <c r="AP5" s="603"/>
      <c r="AQ5" s="603"/>
      <c r="AR5" s="603"/>
      <c r="AS5" s="603"/>
      <c r="AT5" s="603"/>
      <c r="AU5" s="603"/>
      <c r="AV5" s="603"/>
      <c r="AW5" s="603"/>
      <c r="AX5" s="603"/>
      <c r="AY5" s="603"/>
      <c r="AZ5" s="603"/>
      <c r="BA5" s="603"/>
      <c r="BB5" s="603"/>
      <c r="BC5" s="603"/>
      <c r="BD5" s="603"/>
      <c r="BE5" s="603"/>
      <c r="BF5" s="603"/>
      <c r="BG5" s="603"/>
      <c r="BH5" s="603"/>
      <c r="BI5" s="603"/>
      <c r="BJ5" s="603"/>
      <c r="BK5" s="603"/>
      <c r="BL5" s="603"/>
      <c r="BM5" s="603"/>
      <c r="BN5" s="603"/>
      <c r="BO5" s="603"/>
      <c r="BP5" s="603"/>
      <c r="BQ5" s="603"/>
      <c r="BR5" s="603"/>
      <c r="BS5" s="603"/>
      <c r="BT5" s="603"/>
      <c r="BU5" s="603"/>
      <c r="BV5" s="603"/>
      <c r="BW5" s="603"/>
      <c r="BX5" s="603"/>
      <c r="BY5" s="603"/>
      <c r="BZ5" s="603"/>
      <c r="CA5" s="603"/>
      <c r="CB5" s="603"/>
      <c r="CC5" s="603"/>
      <c r="CD5" s="603"/>
      <c r="CE5" s="603"/>
      <c r="CF5" s="603"/>
      <c r="CG5" s="603"/>
      <c r="CH5" s="603"/>
      <c r="CI5" s="603"/>
      <c r="CJ5" s="603"/>
      <c r="CK5" s="603"/>
      <c r="CL5" s="603"/>
      <c r="CM5" s="603"/>
      <c r="CN5" s="603"/>
      <c r="CO5" s="603"/>
      <c r="CP5" s="603"/>
      <c r="CQ5" s="603"/>
      <c r="CR5" s="603"/>
      <c r="CS5" s="603"/>
      <c r="CT5" s="603"/>
      <c r="CU5" s="603"/>
      <c r="CV5" s="603"/>
      <c r="CW5" s="603"/>
      <c r="CX5" s="603"/>
      <c r="CY5" s="603"/>
      <c r="CZ5" s="603"/>
      <c r="DA5" s="603"/>
      <c r="DB5" s="603"/>
      <c r="DC5" s="603"/>
      <c r="DD5" s="603"/>
      <c r="DE5" s="603"/>
      <c r="DF5" s="603"/>
      <c r="DG5" s="603"/>
      <c r="DH5" s="603"/>
      <c r="DI5" s="603"/>
      <c r="DJ5" s="603"/>
      <c r="DK5" s="603"/>
      <c r="DL5" s="603"/>
      <c r="DM5" s="603"/>
      <c r="DN5" s="603"/>
      <c r="DO5" s="603"/>
      <c r="DP5" s="603"/>
      <c r="DQ5" s="603"/>
      <c r="DR5" s="603"/>
      <c r="DS5" s="603"/>
      <c r="DT5" s="603"/>
      <c r="DU5" s="603"/>
      <c r="DV5" s="603"/>
      <c r="DW5" s="603"/>
      <c r="DX5" s="603"/>
      <c r="DY5" s="603"/>
      <c r="DZ5" s="603"/>
      <c r="EA5" s="603"/>
      <c r="EB5" s="603"/>
      <c r="EC5" s="603"/>
      <c r="ED5" s="603"/>
      <c r="EE5" s="603"/>
      <c r="EF5" s="603"/>
      <c r="EG5" s="603"/>
      <c r="EH5" s="603"/>
      <c r="EI5" s="603"/>
      <c r="EJ5" s="603"/>
      <c r="EK5" s="603"/>
      <c r="EL5" s="603"/>
      <c r="EM5" s="603"/>
      <c r="EN5" s="603"/>
      <c r="EO5" s="603"/>
      <c r="EP5" s="603"/>
      <c r="EQ5" s="603"/>
      <c r="ER5" s="603"/>
      <c r="ES5" s="603"/>
      <c r="ET5" s="603"/>
      <c r="EU5" s="603"/>
      <c r="EV5" s="603"/>
      <c r="EW5" s="603"/>
      <c r="EX5" s="603"/>
      <c r="EY5" s="603"/>
      <c r="EZ5" s="603"/>
    </row>
    <row r="6" spans="1:156" s="605" customFormat="1" ht="20.100000000000001" customHeight="1">
      <c r="A6" s="1902"/>
      <c r="B6" s="606" t="s">
        <v>43</v>
      </c>
      <c r="C6" s="606" t="s">
        <v>44</v>
      </c>
      <c r="D6" s="606" t="s">
        <v>43</v>
      </c>
      <c r="E6" s="606" t="s">
        <v>45</v>
      </c>
      <c r="F6" s="607" t="s">
        <v>46</v>
      </c>
      <c r="G6" s="608" t="s">
        <v>47</v>
      </c>
      <c r="H6" s="603"/>
      <c r="I6" s="603"/>
      <c r="J6" s="603"/>
      <c r="K6" s="603"/>
      <c r="L6" s="603"/>
      <c r="M6" s="603"/>
      <c r="N6" s="603"/>
      <c r="O6" s="603"/>
      <c r="P6" s="603"/>
      <c r="Q6" s="603"/>
      <c r="R6" s="603"/>
      <c r="S6" s="603"/>
      <c r="T6" s="603"/>
      <c r="U6" s="603"/>
      <c r="V6" s="603"/>
      <c r="W6" s="603"/>
      <c r="X6" s="603"/>
      <c r="Y6" s="603"/>
      <c r="Z6" s="603"/>
      <c r="AA6" s="603"/>
      <c r="AB6" s="603"/>
      <c r="AC6" s="603"/>
      <c r="AD6" s="603"/>
      <c r="AE6" s="603"/>
      <c r="AF6" s="603"/>
      <c r="AG6" s="603"/>
      <c r="AH6" s="603"/>
      <c r="AI6" s="603"/>
      <c r="AJ6" s="603"/>
      <c r="AK6" s="603"/>
      <c r="AL6" s="603"/>
      <c r="AM6" s="603"/>
      <c r="AN6" s="603"/>
      <c r="AO6" s="603"/>
      <c r="AP6" s="603"/>
      <c r="AQ6" s="603"/>
      <c r="AR6" s="603"/>
      <c r="AS6" s="603"/>
      <c r="AT6" s="603"/>
      <c r="AU6" s="603"/>
      <c r="AV6" s="603"/>
      <c r="AW6" s="603"/>
      <c r="AX6" s="603"/>
      <c r="AY6" s="603"/>
      <c r="AZ6" s="603"/>
      <c r="BA6" s="603"/>
      <c r="BB6" s="603"/>
      <c r="BC6" s="603"/>
      <c r="BD6" s="603"/>
      <c r="BE6" s="603"/>
      <c r="BF6" s="603"/>
      <c r="BG6" s="603"/>
      <c r="BH6" s="603"/>
      <c r="BI6" s="603"/>
      <c r="BJ6" s="603"/>
      <c r="BK6" s="603"/>
      <c r="BL6" s="603"/>
      <c r="BM6" s="603"/>
      <c r="BN6" s="603"/>
      <c r="BO6" s="603"/>
      <c r="BP6" s="603"/>
      <c r="BQ6" s="603"/>
      <c r="BR6" s="603"/>
      <c r="BS6" s="603"/>
      <c r="BT6" s="603"/>
      <c r="BU6" s="603"/>
      <c r="BV6" s="603"/>
      <c r="BW6" s="603"/>
      <c r="BX6" s="603"/>
      <c r="BY6" s="603"/>
      <c r="BZ6" s="603"/>
      <c r="CA6" s="603"/>
      <c r="CB6" s="603"/>
      <c r="CC6" s="603"/>
      <c r="CD6" s="603"/>
      <c r="CE6" s="603"/>
      <c r="CF6" s="603"/>
      <c r="CG6" s="603"/>
      <c r="CH6" s="603"/>
      <c r="CI6" s="603"/>
      <c r="CJ6" s="603"/>
      <c r="CK6" s="603"/>
      <c r="CL6" s="603"/>
      <c r="CM6" s="603"/>
      <c r="CN6" s="603"/>
      <c r="CO6" s="603"/>
      <c r="CP6" s="603"/>
      <c r="CQ6" s="603"/>
      <c r="CR6" s="603"/>
      <c r="CS6" s="603"/>
      <c r="CT6" s="603"/>
      <c r="CU6" s="603"/>
      <c r="CV6" s="603"/>
      <c r="CW6" s="603"/>
      <c r="CX6" s="603"/>
      <c r="CY6" s="603"/>
      <c r="CZ6" s="603"/>
      <c r="DA6" s="603"/>
      <c r="DB6" s="603"/>
      <c r="DC6" s="603"/>
      <c r="DD6" s="603"/>
      <c r="DE6" s="603"/>
      <c r="DF6" s="603"/>
      <c r="DG6" s="603"/>
      <c r="DH6" s="603"/>
      <c r="DI6" s="603"/>
      <c r="DJ6" s="603"/>
      <c r="DK6" s="603"/>
      <c r="DL6" s="603"/>
      <c r="DM6" s="603"/>
      <c r="DN6" s="603"/>
      <c r="DO6" s="603"/>
      <c r="DP6" s="603"/>
      <c r="DQ6" s="603"/>
      <c r="DR6" s="603"/>
      <c r="DS6" s="603"/>
      <c r="DT6" s="603"/>
      <c r="DU6" s="603"/>
      <c r="DV6" s="603"/>
      <c r="DW6" s="603"/>
      <c r="DX6" s="603"/>
      <c r="DY6" s="603"/>
      <c r="DZ6" s="603"/>
      <c r="EA6" s="603"/>
      <c r="EB6" s="603"/>
      <c r="EC6" s="603"/>
      <c r="ED6" s="603"/>
      <c r="EE6" s="603"/>
      <c r="EF6" s="603"/>
      <c r="EG6" s="603"/>
      <c r="EH6" s="603"/>
      <c r="EI6" s="603"/>
      <c r="EJ6" s="603"/>
      <c r="EK6" s="603"/>
      <c r="EL6" s="603"/>
      <c r="EM6" s="603"/>
      <c r="EN6" s="603"/>
      <c r="EO6" s="603"/>
      <c r="EP6" s="603"/>
      <c r="EQ6" s="603"/>
      <c r="ER6" s="603"/>
      <c r="ES6" s="603"/>
      <c r="ET6" s="603"/>
      <c r="EU6" s="603"/>
      <c r="EV6" s="603"/>
      <c r="EW6" s="603"/>
      <c r="EX6" s="603"/>
      <c r="EY6" s="603"/>
      <c r="EZ6" s="603"/>
    </row>
    <row r="7" spans="1:156" s="605" customFormat="1" ht="20.100000000000001" customHeight="1">
      <c r="A7" s="609" t="s">
        <v>48</v>
      </c>
      <c r="B7" s="610">
        <f>SUM(B8:B19)</f>
        <v>8717874000</v>
      </c>
      <c r="C7" s="611">
        <f t="shared" ref="C7:C19" si="0">+B7/$B$7</f>
        <v>1</v>
      </c>
      <c r="D7" s="610">
        <f>SUM(D8:D19)</f>
        <v>5825281000</v>
      </c>
      <c r="E7" s="611">
        <f t="shared" ref="E7:E19" si="1">+D7/$D$7</f>
        <v>1</v>
      </c>
      <c r="F7" s="610">
        <f>+B7-D7</f>
        <v>2892593000</v>
      </c>
      <c r="G7" s="612">
        <f t="shared" ref="G7:G19" si="2">+F7/D7</f>
        <v>0.49655853511616005</v>
      </c>
      <c r="H7" s="603"/>
      <c r="I7" s="603"/>
      <c r="J7" s="603"/>
      <c r="K7" s="603"/>
      <c r="L7" s="603"/>
      <c r="M7" s="603"/>
      <c r="N7" s="603"/>
      <c r="O7" s="603"/>
      <c r="P7" s="603"/>
      <c r="Q7" s="603"/>
      <c r="R7" s="603"/>
      <c r="S7" s="603"/>
      <c r="T7" s="603"/>
      <c r="U7" s="603"/>
      <c r="V7" s="603"/>
      <c r="W7" s="603"/>
      <c r="X7" s="603"/>
      <c r="Y7" s="603"/>
      <c r="Z7" s="603"/>
      <c r="AA7" s="603"/>
      <c r="AB7" s="603"/>
      <c r="AC7" s="603"/>
      <c r="AD7" s="603"/>
      <c r="AE7" s="603"/>
      <c r="AF7" s="603"/>
      <c r="AG7" s="603"/>
      <c r="AH7" s="603"/>
      <c r="AI7" s="603"/>
      <c r="AJ7" s="603"/>
      <c r="AK7" s="603"/>
      <c r="AL7" s="603"/>
      <c r="AM7" s="603"/>
      <c r="AN7" s="603"/>
      <c r="AO7" s="603"/>
      <c r="AP7" s="603"/>
      <c r="AQ7" s="603"/>
      <c r="AR7" s="603"/>
      <c r="AS7" s="603"/>
      <c r="AT7" s="603"/>
      <c r="AU7" s="603"/>
      <c r="AV7" s="603"/>
      <c r="AW7" s="603"/>
      <c r="AX7" s="603"/>
      <c r="AY7" s="603"/>
      <c r="AZ7" s="603"/>
      <c r="BA7" s="603"/>
      <c r="BB7" s="603"/>
      <c r="BC7" s="603"/>
      <c r="BD7" s="603"/>
      <c r="BE7" s="603"/>
      <c r="BF7" s="603"/>
      <c r="BG7" s="603"/>
      <c r="BH7" s="603"/>
      <c r="BI7" s="603"/>
      <c r="BJ7" s="603"/>
      <c r="BK7" s="603"/>
      <c r="BL7" s="603"/>
      <c r="BM7" s="603"/>
      <c r="BN7" s="603"/>
      <c r="BO7" s="603"/>
      <c r="BP7" s="603"/>
      <c r="BQ7" s="603"/>
      <c r="BR7" s="603"/>
      <c r="BS7" s="603"/>
      <c r="BT7" s="603"/>
      <c r="BU7" s="603"/>
      <c r="BV7" s="603"/>
      <c r="BW7" s="603"/>
      <c r="BX7" s="603"/>
      <c r="BY7" s="603"/>
      <c r="BZ7" s="603"/>
      <c r="CA7" s="603"/>
      <c r="CB7" s="603"/>
      <c r="CC7" s="603"/>
      <c r="CD7" s="603"/>
      <c r="CE7" s="603"/>
      <c r="CF7" s="603"/>
      <c r="CG7" s="603"/>
      <c r="CH7" s="603"/>
      <c r="CI7" s="603"/>
      <c r="CJ7" s="603"/>
      <c r="CK7" s="603"/>
      <c r="CL7" s="603"/>
      <c r="CM7" s="603"/>
      <c r="CN7" s="603"/>
      <c r="CO7" s="603"/>
      <c r="CP7" s="603"/>
      <c r="CQ7" s="603"/>
      <c r="CR7" s="603"/>
      <c r="CS7" s="603"/>
      <c r="CT7" s="603"/>
      <c r="CU7" s="603"/>
      <c r="CV7" s="603"/>
      <c r="CW7" s="603"/>
      <c r="CX7" s="603"/>
      <c r="CY7" s="603"/>
      <c r="CZ7" s="603"/>
      <c r="DA7" s="603"/>
      <c r="DB7" s="603"/>
      <c r="DC7" s="603"/>
      <c r="DD7" s="603"/>
      <c r="DE7" s="603"/>
      <c r="DF7" s="603"/>
      <c r="DG7" s="603"/>
      <c r="DH7" s="603"/>
      <c r="DI7" s="603"/>
      <c r="DJ7" s="603"/>
      <c r="DK7" s="603"/>
      <c r="DL7" s="603"/>
      <c r="DM7" s="603"/>
      <c r="DN7" s="603"/>
      <c r="DO7" s="603"/>
      <c r="DP7" s="603"/>
      <c r="DQ7" s="603"/>
      <c r="DR7" s="603"/>
      <c r="DS7" s="603"/>
      <c r="DT7" s="603"/>
      <c r="DU7" s="603"/>
      <c r="DV7" s="603"/>
      <c r="DW7" s="603"/>
      <c r="DX7" s="603"/>
      <c r="DY7" s="603"/>
      <c r="DZ7" s="603"/>
      <c r="EA7" s="603"/>
      <c r="EB7" s="603"/>
      <c r="EC7" s="603"/>
      <c r="ED7" s="603"/>
      <c r="EE7" s="603"/>
      <c r="EF7" s="603"/>
      <c r="EG7" s="603"/>
      <c r="EH7" s="603"/>
      <c r="EI7" s="603"/>
      <c r="EJ7" s="603"/>
      <c r="EK7" s="603"/>
      <c r="EL7" s="603"/>
      <c r="EM7" s="603"/>
      <c r="EN7" s="603"/>
      <c r="EO7" s="603"/>
      <c r="EP7" s="603"/>
      <c r="EQ7" s="603"/>
      <c r="ER7" s="603"/>
      <c r="ES7" s="603"/>
      <c r="ET7" s="603"/>
      <c r="EU7" s="603"/>
      <c r="EV7" s="603"/>
      <c r="EW7" s="603"/>
      <c r="EX7" s="603"/>
      <c r="EY7" s="603"/>
      <c r="EZ7" s="603"/>
    </row>
    <row r="8" spans="1:156" s="605" customFormat="1" ht="20.100000000000001" customHeight="1">
      <c r="A8" s="711" t="s">
        <v>21</v>
      </c>
      <c r="B8" s="712">
        <v>1900720000</v>
      </c>
      <c r="C8" s="626">
        <f t="shared" si="0"/>
        <v>0.21802563331381022</v>
      </c>
      <c r="D8" s="625">
        <v>1687053000</v>
      </c>
      <c r="E8" s="626">
        <f>+D8/$D$7</f>
        <v>0.28960886178709661</v>
      </c>
      <c r="F8" s="627">
        <f>+B8-D8</f>
        <v>213667000</v>
      </c>
      <c r="G8" s="628">
        <f>+F8/D8</f>
        <v>0.12665102993207683</v>
      </c>
      <c r="H8" s="603"/>
      <c r="I8" s="603"/>
      <c r="J8" s="603"/>
      <c r="K8" s="603"/>
      <c r="L8" s="603"/>
      <c r="M8" s="603"/>
      <c r="N8" s="603"/>
      <c r="O8" s="603"/>
      <c r="P8" s="603"/>
      <c r="Q8" s="603"/>
      <c r="R8" s="603"/>
      <c r="S8" s="603"/>
      <c r="T8" s="603"/>
      <c r="U8" s="603"/>
      <c r="V8" s="603"/>
      <c r="W8" s="603"/>
      <c r="X8" s="603"/>
      <c r="Y8" s="603"/>
      <c r="Z8" s="603"/>
      <c r="AA8" s="603"/>
      <c r="AB8" s="603"/>
      <c r="AC8" s="603"/>
      <c r="AD8" s="603"/>
      <c r="AE8" s="603"/>
      <c r="AF8" s="603"/>
      <c r="AG8" s="603"/>
      <c r="AH8" s="603"/>
      <c r="AI8" s="603"/>
      <c r="AJ8" s="603"/>
      <c r="AK8" s="603"/>
      <c r="AL8" s="603"/>
      <c r="AM8" s="603"/>
      <c r="AN8" s="603"/>
      <c r="AO8" s="603"/>
      <c r="AP8" s="603"/>
      <c r="AQ8" s="603"/>
      <c r="AR8" s="603"/>
      <c r="AS8" s="603"/>
      <c r="AT8" s="603"/>
      <c r="AU8" s="603"/>
      <c r="AV8" s="603"/>
      <c r="AW8" s="603"/>
      <c r="AX8" s="603"/>
      <c r="AY8" s="603"/>
      <c r="AZ8" s="603"/>
      <c r="BA8" s="603"/>
      <c r="BB8" s="603"/>
      <c r="BC8" s="603"/>
      <c r="BD8" s="603"/>
      <c r="BE8" s="603"/>
      <c r="BF8" s="603"/>
      <c r="BG8" s="603"/>
      <c r="BH8" s="603"/>
      <c r="BI8" s="603"/>
      <c r="BJ8" s="603"/>
      <c r="BK8" s="603"/>
      <c r="BL8" s="603"/>
      <c r="BM8" s="603"/>
      <c r="BN8" s="603"/>
      <c r="BO8" s="603"/>
      <c r="BP8" s="603"/>
      <c r="BQ8" s="603"/>
      <c r="BR8" s="603"/>
      <c r="BS8" s="603"/>
      <c r="BT8" s="603"/>
      <c r="BU8" s="603"/>
      <c r="BV8" s="603"/>
      <c r="BW8" s="603"/>
      <c r="BX8" s="603"/>
      <c r="BY8" s="603"/>
      <c r="BZ8" s="603"/>
      <c r="CA8" s="603"/>
      <c r="CB8" s="603"/>
      <c r="CC8" s="603"/>
      <c r="CD8" s="603"/>
      <c r="CE8" s="603"/>
      <c r="CF8" s="603"/>
      <c r="CG8" s="603"/>
      <c r="CH8" s="603"/>
      <c r="CI8" s="603"/>
      <c r="CJ8" s="603"/>
      <c r="CK8" s="603"/>
      <c r="CL8" s="603"/>
      <c r="CM8" s="603"/>
      <c r="CN8" s="603"/>
      <c r="CO8" s="603"/>
      <c r="CP8" s="603"/>
      <c r="CQ8" s="603"/>
      <c r="CR8" s="603"/>
      <c r="CS8" s="603"/>
      <c r="CT8" s="603"/>
      <c r="CU8" s="603"/>
      <c r="CV8" s="603"/>
      <c r="CW8" s="603"/>
      <c r="CX8" s="603"/>
      <c r="CY8" s="603"/>
      <c r="CZ8" s="603"/>
      <c r="DA8" s="603"/>
      <c r="DB8" s="603"/>
      <c r="DC8" s="603"/>
      <c r="DD8" s="603"/>
      <c r="DE8" s="603"/>
      <c r="DF8" s="603"/>
      <c r="DG8" s="603"/>
      <c r="DH8" s="603"/>
      <c r="DI8" s="603"/>
      <c r="DJ8" s="603"/>
      <c r="DK8" s="603"/>
      <c r="DL8" s="603"/>
      <c r="DM8" s="603"/>
      <c r="DN8" s="603"/>
      <c r="DO8" s="603"/>
      <c r="DP8" s="603"/>
      <c r="DQ8" s="603"/>
      <c r="DR8" s="603"/>
      <c r="DS8" s="603"/>
      <c r="DT8" s="603"/>
      <c r="DU8" s="603"/>
      <c r="DV8" s="603"/>
      <c r="DW8" s="603"/>
      <c r="DX8" s="603"/>
      <c r="DY8" s="603"/>
      <c r="DZ8" s="603"/>
      <c r="EA8" s="603"/>
      <c r="EB8" s="603"/>
      <c r="EC8" s="603"/>
      <c r="ED8" s="603"/>
      <c r="EE8" s="603"/>
      <c r="EF8" s="603"/>
      <c r="EG8" s="603"/>
      <c r="EH8" s="603"/>
      <c r="EI8" s="603"/>
      <c r="EJ8" s="603"/>
      <c r="EK8" s="603"/>
      <c r="EL8" s="603"/>
      <c r="EM8" s="603"/>
      <c r="EN8" s="603"/>
      <c r="EO8" s="603"/>
      <c r="EP8" s="603"/>
      <c r="EQ8" s="603"/>
      <c r="ER8" s="603"/>
      <c r="ES8" s="603"/>
      <c r="ET8" s="603"/>
      <c r="EU8" s="603"/>
      <c r="EV8" s="603"/>
      <c r="EW8" s="603"/>
      <c r="EX8" s="603"/>
      <c r="EY8" s="603"/>
      <c r="EZ8" s="603"/>
    </row>
    <row r="9" spans="1:156" s="605" customFormat="1" ht="20.100000000000001" customHeight="1">
      <c r="A9" s="713" t="s">
        <v>22</v>
      </c>
      <c r="B9" s="714">
        <v>1588140000</v>
      </c>
      <c r="C9" s="636">
        <f t="shared" si="0"/>
        <v>0.18217056130886958</v>
      </c>
      <c r="D9" s="627">
        <v>1586392000</v>
      </c>
      <c r="E9" s="626">
        <f t="shared" si="1"/>
        <v>0.27232883701232607</v>
      </c>
      <c r="F9" s="627">
        <f t="shared" ref="F9:F19" si="3">+B9-D9</f>
        <v>1748000</v>
      </c>
      <c r="G9" s="637">
        <f t="shared" si="2"/>
        <v>1.1018714163964518E-3</v>
      </c>
      <c r="H9" s="603"/>
      <c r="I9" s="603"/>
      <c r="J9" s="603"/>
      <c r="K9" s="603"/>
      <c r="L9" s="603"/>
      <c r="M9" s="603"/>
      <c r="N9" s="603"/>
      <c r="O9" s="603"/>
      <c r="P9" s="603"/>
      <c r="Q9" s="603"/>
      <c r="R9" s="603"/>
      <c r="S9" s="603"/>
      <c r="T9" s="603"/>
      <c r="U9" s="603"/>
      <c r="V9" s="603"/>
      <c r="W9" s="603"/>
      <c r="X9" s="603"/>
      <c r="Y9" s="603"/>
      <c r="Z9" s="603"/>
      <c r="AA9" s="603"/>
      <c r="AB9" s="603"/>
      <c r="AC9" s="603"/>
      <c r="AD9" s="603"/>
      <c r="AE9" s="603"/>
      <c r="AF9" s="603"/>
      <c r="AG9" s="603"/>
      <c r="AH9" s="603"/>
      <c r="AI9" s="603"/>
      <c r="AJ9" s="603"/>
      <c r="AK9" s="603"/>
      <c r="AL9" s="603"/>
      <c r="AM9" s="603"/>
      <c r="AN9" s="603"/>
      <c r="AO9" s="603"/>
      <c r="AP9" s="603"/>
      <c r="AQ9" s="603"/>
      <c r="AR9" s="603"/>
      <c r="AS9" s="603"/>
      <c r="AT9" s="603"/>
      <c r="AU9" s="603"/>
      <c r="AV9" s="603"/>
      <c r="AW9" s="603"/>
      <c r="AX9" s="603"/>
      <c r="AY9" s="603"/>
      <c r="AZ9" s="603"/>
      <c r="BA9" s="603"/>
      <c r="BB9" s="603"/>
      <c r="BC9" s="603"/>
      <c r="BD9" s="603"/>
      <c r="BE9" s="603"/>
      <c r="BF9" s="603"/>
      <c r="BG9" s="603"/>
      <c r="BH9" s="603"/>
      <c r="BI9" s="603"/>
      <c r="BJ9" s="603"/>
      <c r="BK9" s="603"/>
      <c r="BL9" s="603"/>
      <c r="BM9" s="603"/>
      <c r="BN9" s="603"/>
      <c r="BO9" s="603"/>
      <c r="BP9" s="603"/>
      <c r="BQ9" s="603"/>
      <c r="BR9" s="603"/>
      <c r="BS9" s="603"/>
      <c r="BT9" s="603"/>
      <c r="BU9" s="603"/>
      <c r="BV9" s="603"/>
      <c r="BW9" s="603"/>
      <c r="BX9" s="603"/>
      <c r="BY9" s="603"/>
      <c r="BZ9" s="603"/>
      <c r="CA9" s="603"/>
      <c r="CB9" s="603"/>
      <c r="CC9" s="603"/>
      <c r="CD9" s="603"/>
      <c r="CE9" s="603"/>
      <c r="CF9" s="603"/>
      <c r="CG9" s="603"/>
      <c r="CH9" s="603"/>
      <c r="CI9" s="603"/>
      <c r="CJ9" s="603"/>
      <c r="CK9" s="603"/>
      <c r="CL9" s="603"/>
      <c r="CM9" s="603"/>
      <c r="CN9" s="603"/>
      <c r="CO9" s="603"/>
      <c r="CP9" s="603"/>
      <c r="CQ9" s="603"/>
      <c r="CR9" s="603"/>
      <c r="CS9" s="603"/>
      <c r="CT9" s="603"/>
      <c r="CU9" s="603"/>
      <c r="CV9" s="603"/>
      <c r="CW9" s="603"/>
      <c r="CX9" s="603"/>
      <c r="CY9" s="603"/>
      <c r="CZ9" s="603"/>
      <c r="DA9" s="603"/>
      <c r="DB9" s="603"/>
      <c r="DC9" s="603"/>
      <c r="DD9" s="603"/>
      <c r="DE9" s="603"/>
      <c r="DF9" s="603"/>
      <c r="DG9" s="603"/>
      <c r="DH9" s="603"/>
      <c r="DI9" s="603"/>
      <c r="DJ9" s="603"/>
      <c r="DK9" s="603"/>
      <c r="DL9" s="603"/>
      <c r="DM9" s="603"/>
      <c r="DN9" s="603"/>
      <c r="DO9" s="603"/>
      <c r="DP9" s="603"/>
      <c r="DQ9" s="603"/>
      <c r="DR9" s="603"/>
      <c r="DS9" s="603"/>
      <c r="DT9" s="603"/>
      <c r="DU9" s="603"/>
      <c r="DV9" s="603"/>
      <c r="DW9" s="603"/>
      <c r="DX9" s="603"/>
      <c r="DY9" s="603"/>
      <c r="DZ9" s="603"/>
      <c r="EA9" s="603"/>
      <c r="EB9" s="603"/>
      <c r="EC9" s="603"/>
      <c r="ED9" s="603"/>
      <c r="EE9" s="603"/>
      <c r="EF9" s="603"/>
      <c r="EG9" s="603"/>
      <c r="EH9" s="603"/>
      <c r="EI9" s="603"/>
      <c r="EJ9" s="603"/>
      <c r="EK9" s="603"/>
      <c r="EL9" s="603"/>
      <c r="EM9" s="603"/>
      <c r="EN9" s="603"/>
      <c r="EO9" s="603"/>
      <c r="EP9" s="603"/>
      <c r="EQ9" s="603"/>
      <c r="ER9" s="603"/>
      <c r="ES9" s="603"/>
      <c r="ET9" s="603"/>
      <c r="EU9" s="603"/>
      <c r="EV9" s="603"/>
      <c r="EW9" s="603"/>
      <c r="EX9" s="603"/>
      <c r="EY9" s="603"/>
      <c r="EZ9" s="603"/>
    </row>
    <row r="10" spans="1:156" s="605" customFormat="1" ht="20.100000000000001" customHeight="1">
      <c r="A10" s="713" t="s">
        <v>23</v>
      </c>
      <c r="B10" s="714">
        <v>325228000</v>
      </c>
      <c r="C10" s="636">
        <f t="shared" si="0"/>
        <v>3.7305884439256635E-2</v>
      </c>
      <c r="D10" s="627">
        <v>231000000</v>
      </c>
      <c r="E10" s="626">
        <f t="shared" si="1"/>
        <v>3.9654739402270892E-2</v>
      </c>
      <c r="F10" s="627">
        <f t="shared" si="3"/>
        <v>94228000</v>
      </c>
      <c r="G10" s="637">
        <f t="shared" si="2"/>
        <v>0.40791341991341989</v>
      </c>
      <c r="H10" s="603"/>
      <c r="I10" s="603"/>
      <c r="J10" s="603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603"/>
      <c r="AJ10" s="603"/>
      <c r="AK10" s="603"/>
      <c r="AL10" s="603"/>
      <c r="AM10" s="603"/>
      <c r="AN10" s="603"/>
      <c r="AO10" s="603"/>
      <c r="AP10" s="603"/>
      <c r="AQ10" s="603"/>
      <c r="AR10" s="603"/>
      <c r="AS10" s="603"/>
      <c r="AT10" s="603"/>
      <c r="AU10" s="603"/>
      <c r="AV10" s="603"/>
      <c r="AW10" s="603"/>
      <c r="AX10" s="603"/>
      <c r="AY10" s="603"/>
      <c r="AZ10" s="603"/>
      <c r="BA10" s="603"/>
      <c r="BB10" s="603"/>
      <c r="BC10" s="603"/>
      <c r="BD10" s="603"/>
      <c r="BE10" s="603"/>
      <c r="BF10" s="603"/>
      <c r="BG10" s="603"/>
      <c r="BH10" s="603"/>
      <c r="BI10" s="603"/>
      <c r="BJ10" s="603"/>
      <c r="BK10" s="603"/>
      <c r="BL10" s="603"/>
      <c r="BM10" s="603"/>
      <c r="BN10" s="603"/>
      <c r="BO10" s="603"/>
      <c r="BP10" s="603"/>
      <c r="BQ10" s="603"/>
      <c r="BR10" s="603"/>
      <c r="BS10" s="603"/>
      <c r="BT10" s="603"/>
      <c r="BU10" s="603"/>
      <c r="BV10" s="603"/>
      <c r="BW10" s="603"/>
      <c r="BX10" s="603"/>
      <c r="BY10" s="603"/>
      <c r="BZ10" s="603"/>
      <c r="CA10" s="603"/>
      <c r="CB10" s="603"/>
      <c r="CC10" s="603"/>
      <c r="CD10" s="603"/>
      <c r="CE10" s="603"/>
      <c r="CF10" s="603"/>
      <c r="CG10" s="603"/>
      <c r="CH10" s="603"/>
      <c r="CI10" s="603"/>
      <c r="CJ10" s="603"/>
      <c r="CK10" s="603"/>
      <c r="CL10" s="603"/>
      <c r="CM10" s="603"/>
      <c r="CN10" s="603"/>
      <c r="CO10" s="603"/>
      <c r="CP10" s="603"/>
      <c r="CQ10" s="603"/>
      <c r="CR10" s="603"/>
      <c r="CS10" s="603"/>
      <c r="CT10" s="603"/>
      <c r="CU10" s="603"/>
      <c r="CV10" s="603"/>
      <c r="CW10" s="603"/>
      <c r="CX10" s="603"/>
      <c r="CY10" s="603"/>
      <c r="CZ10" s="603"/>
      <c r="DA10" s="603"/>
      <c r="DB10" s="603"/>
      <c r="DC10" s="603"/>
      <c r="DD10" s="603"/>
      <c r="DE10" s="603"/>
      <c r="DF10" s="603"/>
      <c r="DG10" s="603"/>
      <c r="DH10" s="603"/>
      <c r="DI10" s="603"/>
      <c r="DJ10" s="603"/>
      <c r="DK10" s="603"/>
      <c r="DL10" s="603"/>
      <c r="DM10" s="603"/>
      <c r="DN10" s="603"/>
      <c r="DO10" s="603"/>
      <c r="DP10" s="603"/>
      <c r="DQ10" s="603"/>
      <c r="DR10" s="603"/>
      <c r="DS10" s="603"/>
      <c r="DT10" s="603"/>
      <c r="DU10" s="603"/>
      <c r="DV10" s="603"/>
      <c r="DW10" s="603"/>
      <c r="DX10" s="603"/>
      <c r="DY10" s="603"/>
      <c r="DZ10" s="603"/>
      <c r="EA10" s="603"/>
      <c r="EB10" s="603"/>
      <c r="EC10" s="603"/>
      <c r="ED10" s="603"/>
      <c r="EE10" s="603"/>
      <c r="EF10" s="603"/>
      <c r="EG10" s="603"/>
      <c r="EH10" s="603"/>
      <c r="EI10" s="603"/>
      <c r="EJ10" s="603"/>
      <c r="EK10" s="603"/>
      <c r="EL10" s="603"/>
      <c r="EM10" s="603"/>
      <c r="EN10" s="603"/>
      <c r="EO10" s="603"/>
      <c r="EP10" s="603"/>
      <c r="EQ10" s="603"/>
      <c r="ER10" s="603"/>
      <c r="ES10" s="603"/>
      <c r="ET10" s="603"/>
      <c r="EU10" s="603"/>
      <c r="EV10" s="603"/>
      <c r="EW10" s="603"/>
      <c r="EX10" s="603"/>
      <c r="EY10" s="603"/>
      <c r="EZ10" s="603"/>
    </row>
    <row r="11" spans="1:156" s="605" customFormat="1" ht="20.100000000000001" customHeight="1">
      <c r="A11" s="713" t="s">
        <v>24</v>
      </c>
      <c r="B11" s="714">
        <v>358138000</v>
      </c>
      <c r="C11" s="636">
        <f t="shared" si="0"/>
        <v>4.1080887381487734E-2</v>
      </c>
      <c r="D11" s="627">
        <v>245371000</v>
      </c>
      <c r="E11" s="626">
        <f t="shared" si="1"/>
        <v>4.212174485660005E-2</v>
      </c>
      <c r="F11" s="627">
        <f t="shared" si="3"/>
        <v>112767000</v>
      </c>
      <c r="G11" s="637">
        <f t="shared" si="2"/>
        <v>0.45957753768782783</v>
      </c>
      <c r="H11" s="603"/>
      <c r="I11" s="603"/>
      <c r="J11" s="603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603"/>
      <c r="AJ11" s="603"/>
      <c r="AK11" s="603"/>
      <c r="AL11" s="603"/>
      <c r="AM11" s="603"/>
      <c r="AN11" s="603"/>
      <c r="AO11" s="603"/>
      <c r="AP11" s="603"/>
      <c r="AQ11" s="603"/>
      <c r="AR11" s="603"/>
      <c r="AS11" s="603"/>
      <c r="AT11" s="603"/>
      <c r="AU11" s="603"/>
      <c r="AV11" s="603"/>
      <c r="AW11" s="603"/>
      <c r="AX11" s="603"/>
      <c r="AY11" s="603"/>
      <c r="AZ11" s="603"/>
      <c r="BA11" s="603"/>
      <c r="BB11" s="603"/>
      <c r="BC11" s="603"/>
      <c r="BD11" s="603"/>
      <c r="BE11" s="603"/>
      <c r="BF11" s="603"/>
      <c r="BG11" s="603"/>
      <c r="BH11" s="603"/>
      <c r="BI11" s="603"/>
      <c r="BJ11" s="603"/>
      <c r="BK11" s="603"/>
      <c r="BL11" s="603"/>
      <c r="BM11" s="603"/>
      <c r="BN11" s="603"/>
      <c r="BO11" s="603"/>
      <c r="BP11" s="603"/>
      <c r="BQ11" s="603"/>
      <c r="BR11" s="603"/>
      <c r="BS11" s="603"/>
      <c r="BT11" s="603"/>
      <c r="BU11" s="603"/>
      <c r="BV11" s="603"/>
      <c r="BW11" s="603"/>
      <c r="BX11" s="603"/>
      <c r="BY11" s="603"/>
      <c r="BZ11" s="603"/>
      <c r="CA11" s="603"/>
      <c r="CB11" s="603"/>
      <c r="CC11" s="603"/>
      <c r="CD11" s="603"/>
      <c r="CE11" s="603"/>
      <c r="CF11" s="603"/>
      <c r="CG11" s="603"/>
      <c r="CH11" s="603"/>
      <c r="CI11" s="603"/>
      <c r="CJ11" s="603"/>
      <c r="CK11" s="603"/>
      <c r="CL11" s="603"/>
      <c r="CM11" s="603"/>
      <c r="CN11" s="603"/>
      <c r="CO11" s="603"/>
      <c r="CP11" s="603"/>
      <c r="CQ11" s="603"/>
      <c r="CR11" s="603"/>
      <c r="CS11" s="603"/>
      <c r="CT11" s="603"/>
      <c r="CU11" s="603"/>
      <c r="CV11" s="603"/>
      <c r="CW11" s="603"/>
      <c r="CX11" s="603"/>
      <c r="CY11" s="603"/>
      <c r="CZ11" s="603"/>
      <c r="DA11" s="603"/>
      <c r="DB11" s="603"/>
      <c r="DC11" s="603"/>
      <c r="DD11" s="603"/>
      <c r="DE11" s="603"/>
      <c r="DF11" s="603"/>
      <c r="DG11" s="603"/>
      <c r="DH11" s="603"/>
      <c r="DI11" s="603"/>
      <c r="DJ11" s="603"/>
      <c r="DK11" s="603"/>
      <c r="DL11" s="603"/>
      <c r="DM11" s="603"/>
      <c r="DN11" s="603"/>
      <c r="DO11" s="603"/>
      <c r="DP11" s="603"/>
      <c r="DQ11" s="603"/>
      <c r="DR11" s="603"/>
      <c r="DS11" s="603"/>
      <c r="DT11" s="603"/>
      <c r="DU11" s="603"/>
      <c r="DV11" s="603"/>
      <c r="DW11" s="603"/>
      <c r="DX11" s="603"/>
      <c r="DY11" s="603"/>
      <c r="DZ11" s="603"/>
      <c r="EA11" s="603"/>
      <c r="EB11" s="603"/>
      <c r="EC11" s="603"/>
      <c r="ED11" s="603"/>
      <c r="EE11" s="603"/>
      <c r="EF11" s="603"/>
      <c r="EG11" s="603"/>
      <c r="EH11" s="603"/>
      <c r="EI11" s="603"/>
      <c r="EJ11" s="603"/>
      <c r="EK11" s="603"/>
      <c r="EL11" s="603"/>
      <c r="EM11" s="603"/>
      <c r="EN11" s="603"/>
      <c r="EO11" s="603"/>
      <c r="EP11" s="603"/>
      <c r="EQ11" s="603"/>
      <c r="ER11" s="603"/>
      <c r="ES11" s="603"/>
      <c r="ET11" s="603"/>
      <c r="EU11" s="603"/>
      <c r="EV11" s="603"/>
      <c r="EW11" s="603"/>
      <c r="EX11" s="603"/>
      <c r="EY11" s="603"/>
      <c r="EZ11" s="603"/>
    </row>
    <row r="12" spans="1:156" s="605" customFormat="1" ht="20.100000000000001" customHeight="1">
      <c r="A12" s="713" t="s">
        <v>25</v>
      </c>
      <c r="B12" s="714">
        <v>343038000</v>
      </c>
      <c r="C12" s="636">
        <f t="shared" si="0"/>
        <v>3.9348813713068115E-2</v>
      </c>
      <c r="D12" s="627">
        <v>261170000</v>
      </c>
      <c r="E12" s="626">
        <f t="shared" si="1"/>
        <v>4.4833888699961424E-2</v>
      </c>
      <c r="F12" s="627">
        <f t="shared" si="3"/>
        <v>81868000</v>
      </c>
      <c r="G12" s="637">
        <f t="shared" si="2"/>
        <v>0.31346632461615043</v>
      </c>
      <c r="H12" s="603"/>
      <c r="I12" s="603"/>
      <c r="J12" s="603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603"/>
      <c r="AJ12" s="603"/>
      <c r="AK12" s="603"/>
      <c r="AL12" s="603"/>
      <c r="AM12" s="603"/>
      <c r="AN12" s="603"/>
      <c r="AO12" s="603"/>
      <c r="AP12" s="603"/>
      <c r="AQ12" s="603"/>
      <c r="AR12" s="603"/>
      <c r="AS12" s="603"/>
      <c r="AT12" s="603"/>
      <c r="AU12" s="603"/>
      <c r="AV12" s="603"/>
      <c r="AW12" s="603"/>
      <c r="AX12" s="603"/>
      <c r="AY12" s="603"/>
      <c r="AZ12" s="603"/>
      <c r="BA12" s="603"/>
      <c r="BB12" s="603"/>
      <c r="BC12" s="603"/>
      <c r="BD12" s="603"/>
      <c r="BE12" s="603"/>
      <c r="BF12" s="603"/>
      <c r="BG12" s="603"/>
      <c r="BH12" s="603"/>
      <c r="BI12" s="603"/>
      <c r="BJ12" s="603"/>
      <c r="BK12" s="603"/>
      <c r="BL12" s="603"/>
      <c r="BM12" s="603"/>
      <c r="BN12" s="603"/>
      <c r="BO12" s="603"/>
      <c r="BP12" s="603"/>
      <c r="BQ12" s="603"/>
      <c r="BR12" s="603"/>
      <c r="BS12" s="603"/>
      <c r="BT12" s="603"/>
      <c r="BU12" s="603"/>
      <c r="BV12" s="603"/>
      <c r="BW12" s="603"/>
      <c r="BX12" s="603"/>
      <c r="BY12" s="603"/>
      <c r="BZ12" s="603"/>
      <c r="CA12" s="603"/>
      <c r="CB12" s="603"/>
      <c r="CC12" s="603"/>
      <c r="CD12" s="603"/>
      <c r="CE12" s="603"/>
      <c r="CF12" s="603"/>
      <c r="CG12" s="603"/>
      <c r="CH12" s="603"/>
      <c r="CI12" s="603"/>
      <c r="CJ12" s="603"/>
      <c r="CK12" s="603"/>
      <c r="CL12" s="603"/>
      <c r="CM12" s="603"/>
      <c r="CN12" s="603"/>
      <c r="CO12" s="603"/>
      <c r="CP12" s="603"/>
      <c r="CQ12" s="603"/>
      <c r="CR12" s="603"/>
      <c r="CS12" s="603"/>
      <c r="CT12" s="603"/>
      <c r="CU12" s="603"/>
      <c r="CV12" s="603"/>
      <c r="CW12" s="603"/>
      <c r="CX12" s="603"/>
      <c r="CY12" s="603"/>
      <c r="CZ12" s="603"/>
      <c r="DA12" s="603"/>
      <c r="DB12" s="603"/>
      <c r="DC12" s="603"/>
      <c r="DD12" s="603"/>
      <c r="DE12" s="603"/>
      <c r="DF12" s="603"/>
      <c r="DG12" s="603"/>
      <c r="DH12" s="603"/>
      <c r="DI12" s="603"/>
      <c r="DJ12" s="603"/>
      <c r="DK12" s="603"/>
      <c r="DL12" s="603"/>
      <c r="DM12" s="603"/>
      <c r="DN12" s="603"/>
      <c r="DO12" s="603"/>
      <c r="DP12" s="603"/>
      <c r="DQ12" s="603"/>
      <c r="DR12" s="603"/>
      <c r="DS12" s="603"/>
      <c r="DT12" s="603"/>
      <c r="DU12" s="603"/>
      <c r="DV12" s="603"/>
      <c r="DW12" s="603"/>
      <c r="DX12" s="603"/>
      <c r="DY12" s="603"/>
      <c r="DZ12" s="603"/>
      <c r="EA12" s="603"/>
      <c r="EB12" s="603"/>
      <c r="EC12" s="603"/>
      <c r="ED12" s="603"/>
      <c r="EE12" s="603"/>
      <c r="EF12" s="603"/>
      <c r="EG12" s="603"/>
      <c r="EH12" s="603"/>
      <c r="EI12" s="603"/>
      <c r="EJ12" s="603"/>
      <c r="EK12" s="603"/>
      <c r="EL12" s="603"/>
      <c r="EM12" s="603"/>
      <c r="EN12" s="603"/>
      <c r="EO12" s="603"/>
      <c r="EP12" s="603"/>
      <c r="EQ12" s="603"/>
      <c r="ER12" s="603"/>
      <c r="ES12" s="603"/>
      <c r="ET12" s="603"/>
      <c r="EU12" s="603"/>
      <c r="EV12" s="603"/>
      <c r="EW12" s="603"/>
      <c r="EX12" s="603"/>
      <c r="EY12" s="603"/>
      <c r="EZ12" s="603"/>
    </row>
    <row r="13" spans="1:156" s="605" customFormat="1" ht="20.100000000000001" customHeight="1">
      <c r="A13" s="713" t="s">
        <v>2159</v>
      </c>
      <c r="B13" s="714">
        <v>66689000</v>
      </c>
      <c r="C13" s="636">
        <f t="shared" si="0"/>
        <v>7.64968615054542E-3</v>
      </c>
      <c r="D13" s="627">
        <v>50660000</v>
      </c>
      <c r="E13" s="626">
        <f t="shared" si="1"/>
        <v>8.6965761823335225E-3</v>
      </c>
      <c r="F13" s="627">
        <f t="shared" si="3"/>
        <v>16029000</v>
      </c>
      <c r="G13" s="637">
        <f t="shared" si="2"/>
        <v>0.31640347414133441</v>
      </c>
      <c r="H13" s="603"/>
      <c r="I13" s="603"/>
      <c r="J13" s="603"/>
      <c r="K13" s="603"/>
      <c r="L13" s="603"/>
      <c r="M13" s="603"/>
      <c r="N13" s="603"/>
      <c r="O13" s="603"/>
      <c r="P13" s="603"/>
      <c r="Q13" s="603"/>
      <c r="R13" s="603"/>
      <c r="S13" s="603"/>
      <c r="T13" s="603"/>
      <c r="U13" s="603"/>
      <c r="V13" s="603"/>
      <c r="W13" s="603"/>
      <c r="X13" s="603"/>
      <c r="Y13" s="603"/>
      <c r="Z13" s="603"/>
      <c r="AA13" s="603"/>
      <c r="AB13" s="603"/>
      <c r="AC13" s="603"/>
      <c r="AD13" s="603"/>
      <c r="AE13" s="603"/>
      <c r="AF13" s="603"/>
      <c r="AG13" s="603"/>
      <c r="AH13" s="603"/>
      <c r="AI13" s="603"/>
      <c r="AJ13" s="603"/>
      <c r="AK13" s="603"/>
      <c r="AL13" s="603"/>
      <c r="AM13" s="603"/>
      <c r="AN13" s="603"/>
      <c r="AO13" s="603"/>
      <c r="AP13" s="603"/>
      <c r="AQ13" s="603"/>
      <c r="AR13" s="603"/>
      <c r="AS13" s="603"/>
      <c r="AT13" s="603"/>
      <c r="AU13" s="603"/>
      <c r="AV13" s="603"/>
      <c r="AW13" s="603"/>
      <c r="AX13" s="603"/>
      <c r="AY13" s="603"/>
      <c r="AZ13" s="603"/>
      <c r="BA13" s="603"/>
      <c r="BB13" s="603"/>
      <c r="BC13" s="603"/>
      <c r="BD13" s="603"/>
      <c r="BE13" s="603"/>
      <c r="BF13" s="603"/>
      <c r="BG13" s="603"/>
      <c r="BH13" s="603"/>
      <c r="BI13" s="603"/>
      <c r="BJ13" s="603"/>
      <c r="BK13" s="603"/>
      <c r="BL13" s="603"/>
      <c r="BM13" s="603"/>
      <c r="BN13" s="603"/>
      <c r="BO13" s="603"/>
      <c r="BP13" s="603"/>
      <c r="BQ13" s="603"/>
      <c r="BR13" s="603"/>
      <c r="BS13" s="603"/>
      <c r="BT13" s="603"/>
      <c r="BU13" s="603"/>
      <c r="BV13" s="603"/>
      <c r="BW13" s="603"/>
      <c r="BX13" s="603"/>
      <c r="BY13" s="603"/>
      <c r="BZ13" s="603"/>
      <c r="CA13" s="603"/>
      <c r="CB13" s="603"/>
      <c r="CC13" s="603"/>
      <c r="CD13" s="603"/>
      <c r="CE13" s="603"/>
      <c r="CF13" s="603"/>
      <c r="CG13" s="603"/>
      <c r="CH13" s="603"/>
      <c r="CI13" s="603"/>
      <c r="CJ13" s="603"/>
      <c r="CK13" s="603"/>
      <c r="CL13" s="603"/>
      <c r="CM13" s="603"/>
      <c r="CN13" s="603"/>
      <c r="CO13" s="603"/>
      <c r="CP13" s="603"/>
      <c r="CQ13" s="603"/>
      <c r="CR13" s="603"/>
      <c r="CS13" s="603"/>
      <c r="CT13" s="603"/>
      <c r="CU13" s="603"/>
      <c r="CV13" s="603"/>
      <c r="CW13" s="603"/>
      <c r="CX13" s="603"/>
      <c r="CY13" s="603"/>
      <c r="CZ13" s="603"/>
      <c r="DA13" s="603"/>
      <c r="DB13" s="603"/>
      <c r="DC13" s="603"/>
      <c r="DD13" s="603"/>
      <c r="DE13" s="603"/>
      <c r="DF13" s="603"/>
      <c r="DG13" s="603"/>
      <c r="DH13" s="603"/>
      <c r="DI13" s="603"/>
      <c r="DJ13" s="603"/>
      <c r="DK13" s="603"/>
      <c r="DL13" s="603"/>
      <c r="DM13" s="603"/>
      <c r="DN13" s="603"/>
      <c r="DO13" s="603"/>
      <c r="DP13" s="603"/>
      <c r="DQ13" s="603"/>
      <c r="DR13" s="603"/>
      <c r="DS13" s="603"/>
      <c r="DT13" s="603"/>
      <c r="DU13" s="603"/>
      <c r="DV13" s="603"/>
      <c r="DW13" s="603"/>
      <c r="DX13" s="603"/>
      <c r="DY13" s="603"/>
      <c r="DZ13" s="603"/>
      <c r="EA13" s="603"/>
      <c r="EB13" s="603"/>
      <c r="EC13" s="603"/>
      <c r="ED13" s="603"/>
      <c r="EE13" s="603"/>
      <c r="EF13" s="603"/>
      <c r="EG13" s="603"/>
      <c r="EH13" s="603"/>
      <c r="EI13" s="603"/>
      <c r="EJ13" s="603"/>
      <c r="EK13" s="603"/>
      <c r="EL13" s="603"/>
      <c r="EM13" s="603"/>
      <c r="EN13" s="603"/>
      <c r="EO13" s="603"/>
      <c r="EP13" s="603"/>
      <c r="EQ13" s="603"/>
      <c r="ER13" s="603"/>
      <c r="ES13" s="603"/>
      <c r="ET13" s="603"/>
      <c r="EU13" s="603"/>
      <c r="EV13" s="603"/>
      <c r="EW13" s="603"/>
      <c r="EX13" s="603"/>
      <c r="EY13" s="603"/>
      <c r="EZ13" s="603"/>
    </row>
    <row r="14" spans="1:156" s="605" customFormat="1" ht="20.100000000000001" customHeight="1">
      <c r="A14" s="713" t="s">
        <v>2127</v>
      </c>
      <c r="B14" s="714">
        <v>1775783000</v>
      </c>
      <c r="C14" s="636">
        <f t="shared" si="0"/>
        <v>0.20369450166405251</v>
      </c>
      <c r="D14" s="627">
        <v>0</v>
      </c>
      <c r="E14" s="626">
        <f t="shared" si="1"/>
        <v>0</v>
      </c>
      <c r="F14" s="627">
        <f>+B14-D14</f>
        <v>1775783000</v>
      </c>
      <c r="G14" s="637">
        <v>1</v>
      </c>
      <c r="H14" s="603"/>
      <c r="I14" s="603"/>
      <c r="J14" s="603"/>
      <c r="K14" s="603"/>
      <c r="L14" s="603"/>
      <c r="M14" s="603"/>
      <c r="N14" s="603"/>
      <c r="O14" s="603"/>
      <c r="P14" s="603"/>
      <c r="Q14" s="603"/>
      <c r="R14" s="603"/>
      <c r="S14" s="603"/>
      <c r="T14" s="603"/>
      <c r="U14" s="603"/>
      <c r="V14" s="603"/>
      <c r="W14" s="603"/>
      <c r="X14" s="603"/>
      <c r="Y14" s="603"/>
      <c r="Z14" s="603"/>
      <c r="AA14" s="603"/>
      <c r="AB14" s="603"/>
      <c r="AC14" s="603"/>
      <c r="AD14" s="603"/>
      <c r="AE14" s="603"/>
      <c r="AF14" s="603"/>
      <c r="AG14" s="603"/>
      <c r="AH14" s="603"/>
      <c r="AI14" s="603"/>
      <c r="AJ14" s="603"/>
      <c r="AK14" s="603"/>
      <c r="AL14" s="603"/>
      <c r="AM14" s="603"/>
      <c r="AN14" s="603"/>
      <c r="AO14" s="603"/>
      <c r="AP14" s="603"/>
      <c r="AQ14" s="603"/>
      <c r="AR14" s="603"/>
      <c r="AS14" s="603"/>
      <c r="AT14" s="603"/>
      <c r="AU14" s="603"/>
      <c r="AV14" s="603"/>
      <c r="AW14" s="603"/>
      <c r="AX14" s="603"/>
      <c r="AY14" s="603"/>
      <c r="AZ14" s="603"/>
      <c r="BA14" s="603"/>
      <c r="BB14" s="603"/>
      <c r="BC14" s="603"/>
      <c r="BD14" s="603"/>
      <c r="BE14" s="603"/>
      <c r="BF14" s="603"/>
      <c r="BG14" s="603"/>
      <c r="BH14" s="603"/>
      <c r="BI14" s="603"/>
      <c r="BJ14" s="603"/>
      <c r="BK14" s="603"/>
      <c r="BL14" s="603"/>
      <c r="BM14" s="603"/>
      <c r="BN14" s="603"/>
      <c r="BO14" s="603"/>
      <c r="BP14" s="603"/>
      <c r="BQ14" s="603"/>
      <c r="BR14" s="603"/>
      <c r="BS14" s="603"/>
      <c r="BT14" s="603"/>
      <c r="BU14" s="603"/>
      <c r="BV14" s="603"/>
      <c r="BW14" s="603"/>
      <c r="BX14" s="603"/>
      <c r="BY14" s="603"/>
      <c r="BZ14" s="603"/>
      <c r="CA14" s="603"/>
      <c r="CB14" s="603"/>
      <c r="CC14" s="603"/>
      <c r="CD14" s="603"/>
      <c r="CE14" s="603"/>
      <c r="CF14" s="603"/>
      <c r="CG14" s="603"/>
      <c r="CH14" s="603"/>
      <c r="CI14" s="603"/>
      <c r="CJ14" s="603"/>
      <c r="CK14" s="603"/>
      <c r="CL14" s="603"/>
      <c r="CM14" s="603"/>
      <c r="CN14" s="603"/>
      <c r="CO14" s="603"/>
      <c r="CP14" s="603"/>
      <c r="CQ14" s="603"/>
      <c r="CR14" s="603"/>
      <c r="CS14" s="603"/>
      <c r="CT14" s="603"/>
      <c r="CU14" s="603"/>
      <c r="CV14" s="603"/>
      <c r="CW14" s="603"/>
      <c r="CX14" s="603"/>
      <c r="CY14" s="603"/>
      <c r="CZ14" s="603"/>
      <c r="DA14" s="603"/>
      <c r="DB14" s="603"/>
      <c r="DC14" s="603"/>
      <c r="DD14" s="603"/>
      <c r="DE14" s="603"/>
      <c r="DF14" s="603"/>
      <c r="DG14" s="603"/>
      <c r="DH14" s="603"/>
      <c r="DI14" s="603"/>
      <c r="DJ14" s="603"/>
      <c r="DK14" s="603"/>
      <c r="DL14" s="603"/>
      <c r="DM14" s="603"/>
      <c r="DN14" s="603"/>
      <c r="DO14" s="603"/>
      <c r="DP14" s="603"/>
      <c r="DQ14" s="603"/>
      <c r="DR14" s="603"/>
      <c r="DS14" s="603"/>
      <c r="DT14" s="603"/>
      <c r="DU14" s="603"/>
      <c r="DV14" s="603"/>
      <c r="DW14" s="603"/>
      <c r="DX14" s="603"/>
      <c r="DY14" s="603"/>
      <c r="DZ14" s="603"/>
      <c r="EA14" s="603"/>
      <c r="EB14" s="603"/>
      <c r="EC14" s="603"/>
      <c r="ED14" s="603"/>
      <c r="EE14" s="603"/>
      <c r="EF14" s="603"/>
      <c r="EG14" s="603"/>
      <c r="EH14" s="603"/>
      <c r="EI14" s="603"/>
      <c r="EJ14" s="603"/>
      <c r="EK14" s="603"/>
      <c r="EL14" s="603"/>
      <c r="EM14" s="603"/>
      <c r="EN14" s="603"/>
      <c r="EO14" s="603"/>
      <c r="EP14" s="603"/>
      <c r="EQ14" s="603"/>
      <c r="ER14" s="603"/>
      <c r="ES14" s="603"/>
      <c r="ET14" s="603"/>
      <c r="EU14" s="603"/>
      <c r="EV14" s="603"/>
      <c r="EW14" s="603"/>
      <c r="EX14" s="603"/>
      <c r="EY14" s="603"/>
      <c r="EZ14" s="603"/>
    </row>
    <row r="15" spans="1:156" s="605" customFormat="1" ht="20.100000000000001" customHeight="1">
      <c r="A15" s="635" t="s">
        <v>26</v>
      </c>
      <c r="B15" s="627">
        <v>1705842000</v>
      </c>
      <c r="C15" s="636">
        <f t="shared" si="0"/>
        <v>0.19567178878703684</v>
      </c>
      <c r="D15" s="627">
        <v>1271000000</v>
      </c>
      <c r="E15" s="626">
        <f t="shared" si="1"/>
        <v>0.2181868994817589</v>
      </c>
      <c r="F15" s="627">
        <f t="shared" si="3"/>
        <v>434842000</v>
      </c>
      <c r="G15" s="637">
        <f t="shared" si="2"/>
        <v>0.34212588512981906</v>
      </c>
      <c r="H15" s="603"/>
      <c r="I15" s="603"/>
      <c r="J15" s="603"/>
      <c r="K15" s="603"/>
      <c r="L15" s="603"/>
      <c r="M15" s="603"/>
      <c r="N15" s="603"/>
      <c r="O15" s="603"/>
      <c r="P15" s="603"/>
      <c r="Q15" s="603"/>
      <c r="R15" s="603"/>
      <c r="S15" s="603"/>
      <c r="T15" s="603"/>
      <c r="U15" s="603"/>
      <c r="V15" s="603"/>
      <c r="W15" s="603"/>
      <c r="X15" s="603"/>
      <c r="Y15" s="603"/>
      <c r="Z15" s="603"/>
      <c r="AA15" s="603"/>
      <c r="AB15" s="603"/>
      <c r="AC15" s="603"/>
      <c r="AD15" s="603"/>
      <c r="AE15" s="603"/>
      <c r="AF15" s="603"/>
      <c r="AG15" s="603"/>
      <c r="AH15" s="603"/>
      <c r="AI15" s="603"/>
      <c r="AJ15" s="603"/>
      <c r="AK15" s="603"/>
      <c r="AL15" s="603"/>
      <c r="AM15" s="603"/>
      <c r="AN15" s="603"/>
      <c r="AO15" s="603"/>
      <c r="AP15" s="603"/>
      <c r="AQ15" s="603"/>
      <c r="AR15" s="603"/>
      <c r="AS15" s="603"/>
      <c r="AT15" s="603"/>
      <c r="AU15" s="603"/>
      <c r="AV15" s="603"/>
      <c r="AW15" s="603"/>
      <c r="AX15" s="603"/>
      <c r="AY15" s="603"/>
      <c r="AZ15" s="603"/>
      <c r="BA15" s="603"/>
      <c r="BB15" s="603"/>
      <c r="BC15" s="603"/>
      <c r="BD15" s="603"/>
      <c r="BE15" s="603"/>
      <c r="BF15" s="603"/>
      <c r="BG15" s="603"/>
      <c r="BH15" s="603"/>
      <c r="BI15" s="603"/>
      <c r="BJ15" s="603"/>
      <c r="BK15" s="603"/>
      <c r="BL15" s="603"/>
      <c r="BM15" s="603"/>
      <c r="BN15" s="603"/>
      <c r="BO15" s="603"/>
      <c r="BP15" s="603"/>
      <c r="BQ15" s="603"/>
      <c r="BR15" s="603"/>
      <c r="BS15" s="603"/>
      <c r="BT15" s="603"/>
      <c r="BU15" s="603"/>
      <c r="BV15" s="603"/>
      <c r="BW15" s="603"/>
      <c r="BX15" s="603"/>
      <c r="BY15" s="603"/>
      <c r="BZ15" s="603"/>
      <c r="CA15" s="603"/>
      <c r="CB15" s="603"/>
      <c r="CC15" s="603"/>
      <c r="CD15" s="603"/>
      <c r="CE15" s="603"/>
      <c r="CF15" s="603"/>
      <c r="CG15" s="603"/>
      <c r="CH15" s="603"/>
      <c r="CI15" s="603"/>
      <c r="CJ15" s="603"/>
      <c r="CK15" s="603"/>
      <c r="CL15" s="603"/>
      <c r="CM15" s="603"/>
      <c r="CN15" s="603"/>
      <c r="CO15" s="603"/>
      <c r="CP15" s="603"/>
      <c r="CQ15" s="603"/>
      <c r="CR15" s="603"/>
      <c r="CS15" s="603"/>
      <c r="CT15" s="603"/>
      <c r="CU15" s="603"/>
      <c r="CV15" s="603"/>
      <c r="CW15" s="603"/>
      <c r="CX15" s="603"/>
      <c r="CY15" s="603"/>
      <c r="CZ15" s="603"/>
      <c r="DA15" s="603"/>
      <c r="DB15" s="603"/>
      <c r="DC15" s="603"/>
      <c r="DD15" s="603"/>
      <c r="DE15" s="603"/>
      <c r="DF15" s="603"/>
      <c r="DG15" s="603"/>
      <c r="DH15" s="603"/>
      <c r="DI15" s="603"/>
      <c r="DJ15" s="603"/>
      <c r="DK15" s="603"/>
      <c r="DL15" s="603"/>
      <c r="DM15" s="603"/>
      <c r="DN15" s="603"/>
      <c r="DO15" s="603"/>
      <c r="DP15" s="603"/>
      <c r="DQ15" s="603"/>
      <c r="DR15" s="603"/>
      <c r="DS15" s="603"/>
      <c r="DT15" s="603"/>
      <c r="DU15" s="603"/>
      <c r="DV15" s="603"/>
      <c r="DW15" s="603"/>
      <c r="DX15" s="603"/>
      <c r="DY15" s="603"/>
      <c r="DZ15" s="603"/>
      <c r="EA15" s="603"/>
      <c r="EB15" s="603"/>
      <c r="EC15" s="603"/>
      <c r="ED15" s="603"/>
      <c r="EE15" s="603"/>
      <c r="EF15" s="603"/>
      <c r="EG15" s="603"/>
      <c r="EH15" s="603"/>
      <c r="EI15" s="603"/>
      <c r="EJ15" s="603"/>
      <c r="EK15" s="603"/>
      <c r="EL15" s="603"/>
      <c r="EM15" s="603"/>
      <c r="EN15" s="603"/>
      <c r="EO15" s="603"/>
      <c r="EP15" s="603"/>
      <c r="EQ15" s="603"/>
      <c r="ER15" s="603"/>
      <c r="ES15" s="603"/>
      <c r="ET15" s="603"/>
      <c r="EU15" s="603"/>
      <c r="EV15" s="603"/>
      <c r="EW15" s="603"/>
      <c r="EX15" s="603"/>
      <c r="EY15" s="603"/>
      <c r="EZ15" s="603"/>
    </row>
    <row r="16" spans="1:156" s="605" customFormat="1" ht="20.100000000000001" customHeight="1">
      <c r="A16" s="635" t="s">
        <v>27</v>
      </c>
      <c r="B16" s="627">
        <v>343577000</v>
      </c>
      <c r="C16" s="636">
        <f t="shared" si="0"/>
        <v>3.9410640713550119E-2</v>
      </c>
      <c r="D16" s="627">
        <v>252040000</v>
      </c>
      <c r="E16" s="626">
        <f t="shared" si="1"/>
        <v>4.3266582333109767E-2</v>
      </c>
      <c r="F16" s="627">
        <f t="shared" si="3"/>
        <v>91537000</v>
      </c>
      <c r="G16" s="637">
        <f t="shared" si="2"/>
        <v>0.36318441517219491</v>
      </c>
      <c r="H16" s="603"/>
      <c r="I16" s="603"/>
      <c r="J16" s="603"/>
      <c r="K16" s="603"/>
      <c r="L16" s="603"/>
      <c r="M16" s="603"/>
      <c r="N16" s="603"/>
      <c r="O16" s="603"/>
      <c r="P16" s="603"/>
      <c r="Q16" s="603"/>
      <c r="R16" s="603"/>
      <c r="S16" s="603"/>
      <c r="T16" s="603"/>
      <c r="U16" s="603"/>
      <c r="V16" s="603"/>
      <c r="W16" s="603"/>
      <c r="X16" s="603"/>
      <c r="Y16" s="603"/>
      <c r="Z16" s="603"/>
      <c r="AA16" s="603"/>
      <c r="AB16" s="603"/>
      <c r="AC16" s="603"/>
      <c r="AD16" s="603"/>
      <c r="AE16" s="603"/>
      <c r="AF16" s="603"/>
      <c r="AG16" s="603"/>
      <c r="AH16" s="603"/>
      <c r="AI16" s="603"/>
      <c r="AJ16" s="603"/>
      <c r="AK16" s="603"/>
      <c r="AL16" s="603"/>
      <c r="AM16" s="603"/>
      <c r="AN16" s="603"/>
      <c r="AO16" s="603"/>
      <c r="AP16" s="603"/>
      <c r="AQ16" s="603"/>
      <c r="AR16" s="603"/>
      <c r="AS16" s="603"/>
      <c r="AT16" s="603"/>
      <c r="AU16" s="603"/>
      <c r="AV16" s="603"/>
      <c r="AW16" s="603"/>
      <c r="AX16" s="603"/>
      <c r="AY16" s="603"/>
      <c r="AZ16" s="603"/>
      <c r="BA16" s="603"/>
      <c r="BB16" s="603"/>
      <c r="BC16" s="603"/>
      <c r="BD16" s="603"/>
      <c r="BE16" s="603"/>
      <c r="BF16" s="603"/>
      <c r="BG16" s="603"/>
      <c r="BH16" s="603"/>
      <c r="BI16" s="603"/>
      <c r="BJ16" s="603"/>
      <c r="BK16" s="603"/>
      <c r="BL16" s="603"/>
      <c r="BM16" s="603"/>
      <c r="BN16" s="603"/>
      <c r="BO16" s="603"/>
      <c r="BP16" s="603"/>
      <c r="BQ16" s="603"/>
      <c r="BR16" s="603"/>
      <c r="BS16" s="603"/>
      <c r="BT16" s="603"/>
      <c r="BU16" s="603"/>
      <c r="BV16" s="603"/>
      <c r="BW16" s="603"/>
      <c r="BX16" s="603"/>
      <c r="BY16" s="603"/>
      <c r="BZ16" s="603"/>
      <c r="CA16" s="603"/>
      <c r="CB16" s="603"/>
      <c r="CC16" s="603"/>
      <c r="CD16" s="603"/>
      <c r="CE16" s="603"/>
      <c r="CF16" s="603"/>
      <c r="CG16" s="603"/>
      <c r="CH16" s="603"/>
      <c r="CI16" s="603"/>
      <c r="CJ16" s="603"/>
      <c r="CK16" s="603"/>
      <c r="CL16" s="603"/>
      <c r="CM16" s="603"/>
      <c r="CN16" s="603"/>
      <c r="CO16" s="603"/>
      <c r="CP16" s="603"/>
      <c r="CQ16" s="603"/>
      <c r="CR16" s="603"/>
      <c r="CS16" s="603"/>
      <c r="CT16" s="603"/>
      <c r="CU16" s="603"/>
      <c r="CV16" s="603"/>
      <c r="CW16" s="603"/>
      <c r="CX16" s="603"/>
      <c r="CY16" s="603"/>
      <c r="CZ16" s="603"/>
      <c r="DA16" s="603"/>
      <c r="DB16" s="603"/>
      <c r="DC16" s="603"/>
      <c r="DD16" s="603"/>
      <c r="DE16" s="603"/>
      <c r="DF16" s="603"/>
      <c r="DG16" s="603"/>
      <c r="DH16" s="603"/>
      <c r="DI16" s="603"/>
      <c r="DJ16" s="603"/>
      <c r="DK16" s="603"/>
      <c r="DL16" s="603"/>
      <c r="DM16" s="603"/>
      <c r="DN16" s="603"/>
      <c r="DO16" s="603"/>
      <c r="DP16" s="603"/>
      <c r="DQ16" s="603"/>
      <c r="DR16" s="603"/>
      <c r="DS16" s="603"/>
      <c r="DT16" s="603"/>
      <c r="DU16" s="603"/>
      <c r="DV16" s="603"/>
      <c r="DW16" s="603"/>
      <c r="DX16" s="603"/>
      <c r="DY16" s="603"/>
      <c r="DZ16" s="603"/>
      <c r="EA16" s="603"/>
      <c r="EB16" s="603"/>
      <c r="EC16" s="603"/>
      <c r="ED16" s="603"/>
      <c r="EE16" s="603"/>
      <c r="EF16" s="603"/>
      <c r="EG16" s="603"/>
      <c r="EH16" s="603"/>
      <c r="EI16" s="603"/>
      <c r="EJ16" s="603"/>
      <c r="EK16" s="603"/>
      <c r="EL16" s="603"/>
      <c r="EM16" s="603"/>
      <c r="EN16" s="603"/>
      <c r="EO16" s="603"/>
      <c r="EP16" s="603"/>
      <c r="EQ16" s="603"/>
      <c r="ER16" s="603"/>
      <c r="ES16" s="603"/>
      <c r="ET16" s="603"/>
      <c r="EU16" s="603"/>
      <c r="EV16" s="603"/>
      <c r="EW16" s="603"/>
      <c r="EX16" s="603"/>
      <c r="EY16" s="603"/>
      <c r="EZ16" s="603"/>
    </row>
    <row r="17" spans="1:156" s="605" customFormat="1" ht="20.100000000000001" customHeight="1">
      <c r="A17" s="635" t="s">
        <v>36</v>
      </c>
      <c r="B17" s="627">
        <v>155514000</v>
      </c>
      <c r="C17" s="636">
        <f t="shared" si="0"/>
        <v>1.7838523474874721E-2</v>
      </c>
      <c r="D17" s="627">
        <v>114345000</v>
      </c>
      <c r="E17" s="626">
        <f t="shared" si="1"/>
        <v>1.9629096004124092E-2</v>
      </c>
      <c r="F17" s="627">
        <f t="shared" si="3"/>
        <v>41169000</v>
      </c>
      <c r="G17" s="637">
        <f t="shared" si="2"/>
        <v>0.36004197822379641</v>
      </c>
      <c r="H17" s="603"/>
      <c r="I17" s="603"/>
      <c r="J17" s="603"/>
      <c r="K17" s="603"/>
      <c r="L17" s="603"/>
      <c r="M17" s="603"/>
      <c r="N17" s="603"/>
      <c r="O17" s="603"/>
      <c r="P17" s="603"/>
      <c r="Q17" s="603"/>
      <c r="R17" s="603"/>
      <c r="S17" s="603"/>
      <c r="T17" s="603"/>
      <c r="U17" s="603"/>
      <c r="V17" s="603"/>
      <c r="W17" s="603"/>
      <c r="X17" s="603"/>
      <c r="Y17" s="603"/>
      <c r="Z17" s="603"/>
      <c r="AA17" s="603"/>
      <c r="AB17" s="603"/>
      <c r="AC17" s="603"/>
      <c r="AD17" s="603"/>
      <c r="AE17" s="603"/>
      <c r="AF17" s="603"/>
      <c r="AG17" s="603"/>
      <c r="AH17" s="603"/>
      <c r="AI17" s="603"/>
      <c r="AJ17" s="603"/>
      <c r="AK17" s="603"/>
      <c r="AL17" s="603"/>
      <c r="AM17" s="603"/>
      <c r="AN17" s="603"/>
      <c r="AO17" s="603"/>
      <c r="AP17" s="603"/>
      <c r="AQ17" s="603"/>
      <c r="AR17" s="603"/>
      <c r="AS17" s="603"/>
      <c r="AT17" s="603"/>
      <c r="AU17" s="603"/>
      <c r="AV17" s="603"/>
      <c r="AW17" s="603"/>
      <c r="AX17" s="603"/>
      <c r="AY17" s="603"/>
      <c r="AZ17" s="603"/>
      <c r="BA17" s="603"/>
      <c r="BB17" s="603"/>
      <c r="BC17" s="603"/>
      <c r="BD17" s="603"/>
      <c r="BE17" s="603"/>
      <c r="BF17" s="603"/>
      <c r="BG17" s="603"/>
      <c r="BH17" s="603"/>
      <c r="BI17" s="603"/>
      <c r="BJ17" s="603"/>
      <c r="BK17" s="603"/>
      <c r="BL17" s="603"/>
      <c r="BM17" s="603"/>
      <c r="BN17" s="603"/>
      <c r="BO17" s="603"/>
      <c r="BP17" s="603"/>
      <c r="BQ17" s="603"/>
      <c r="BR17" s="603"/>
      <c r="BS17" s="603"/>
      <c r="BT17" s="603"/>
      <c r="BU17" s="603"/>
      <c r="BV17" s="603"/>
      <c r="BW17" s="603"/>
      <c r="BX17" s="603"/>
      <c r="BY17" s="603"/>
      <c r="BZ17" s="603"/>
      <c r="CA17" s="603"/>
      <c r="CB17" s="603"/>
      <c r="CC17" s="603"/>
      <c r="CD17" s="603"/>
      <c r="CE17" s="603"/>
      <c r="CF17" s="603"/>
      <c r="CG17" s="603"/>
      <c r="CH17" s="603"/>
      <c r="CI17" s="603"/>
      <c r="CJ17" s="603"/>
      <c r="CK17" s="603"/>
      <c r="CL17" s="603"/>
      <c r="CM17" s="603"/>
      <c r="CN17" s="603"/>
      <c r="CO17" s="603"/>
      <c r="CP17" s="603"/>
      <c r="CQ17" s="603"/>
      <c r="CR17" s="603"/>
      <c r="CS17" s="603"/>
      <c r="CT17" s="603"/>
      <c r="CU17" s="603"/>
      <c r="CV17" s="603"/>
      <c r="CW17" s="603"/>
      <c r="CX17" s="603"/>
      <c r="CY17" s="603"/>
      <c r="CZ17" s="603"/>
      <c r="DA17" s="603"/>
      <c r="DB17" s="603"/>
      <c r="DC17" s="603"/>
      <c r="DD17" s="603"/>
      <c r="DE17" s="603"/>
      <c r="DF17" s="603"/>
      <c r="DG17" s="603"/>
      <c r="DH17" s="603"/>
      <c r="DI17" s="603"/>
      <c r="DJ17" s="603"/>
      <c r="DK17" s="603"/>
      <c r="DL17" s="603"/>
      <c r="DM17" s="603"/>
      <c r="DN17" s="603"/>
      <c r="DO17" s="603"/>
      <c r="DP17" s="603"/>
      <c r="DQ17" s="603"/>
      <c r="DR17" s="603"/>
      <c r="DS17" s="603"/>
      <c r="DT17" s="603"/>
      <c r="DU17" s="603"/>
      <c r="DV17" s="603"/>
      <c r="DW17" s="603"/>
      <c r="DX17" s="603"/>
      <c r="DY17" s="603"/>
      <c r="DZ17" s="603"/>
      <c r="EA17" s="603"/>
      <c r="EB17" s="603"/>
      <c r="EC17" s="603"/>
      <c r="ED17" s="603"/>
      <c r="EE17" s="603"/>
      <c r="EF17" s="603"/>
      <c r="EG17" s="603"/>
      <c r="EH17" s="603"/>
      <c r="EI17" s="603"/>
      <c r="EJ17" s="603"/>
      <c r="EK17" s="603"/>
      <c r="EL17" s="603"/>
      <c r="EM17" s="603"/>
      <c r="EN17" s="603"/>
      <c r="EO17" s="603"/>
      <c r="EP17" s="603"/>
      <c r="EQ17" s="603"/>
      <c r="ER17" s="603"/>
      <c r="ES17" s="603"/>
      <c r="ET17" s="603"/>
      <c r="EU17" s="603"/>
      <c r="EV17" s="603"/>
      <c r="EW17" s="603"/>
      <c r="EX17" s="603"/>
      <c r="EY17" s="603"/>
      <c r="EZ17" s="603"/>
    </row>
    <row r="18" spans="1:156" s="605" customFormat="1" ht="20.100000000000001" customHeight="1">
      <c r="A18" s="635" t="s">
        <v>2515</v>
      </c>
      <c r="B18" s="627">
        <v>85429000</v>
      </c>
      <c r="C18" s="636">
        <f t="shared" si="0"/>
        <v>9.7992928092330775E-3</v>
      </c>
      <c r="D18" s="627">
        <v>73750000</v>
      </c>
      <c r="E18" s="626">
        <f t="shared" si="1"/>
        <v>1.2660333467175232E-2</v>
      </c>
      <c r="F18" s="627">
        <f t="shared" si="3"/>
        <v>11679000</v>
      </c>
      <c r="G18" s="637">
        <f t="shared" si="2"/>
        <v>0.1583593220338983</v>
      </c>
      <c r="H18" s="603"/>
      <c r="I18" s="603"/>
      <c r="J18" s="603"/>
      <c r="K18" s="603"/>
      <c r="L18" s="603"/>
      <c r="M18" s="603"/>
      <c r="N18" s="603"/>
      <c r="O18" s="603"/>
      <c r="P18" s="603"/>
      <c r="Q18" s="603"/>
      <c r="R18" s="603"/>
      <c r="S18" s="603"/>
      <c r="T18" s="603"/>
      <c r="U18" s="603"/>
      <c r="V18" s="603"/>
      <c r="W18" s="603"/>
      <c r="X18" s="603"/>
      <c r="Y18" s="603"/>
      <c r="Z18" s="603"/>
      <c r="AA18" s="603"/>
      <c r="AB18" s="603"/>
      <c r="AC18" s="603"/>
      <c r="AD18" s="603"/>
      <c r="AE18" s="603"/>
      <c r="AF18" s="603"/>
      <c r="AG18" s="603"/>
      <c r="AH18" s="603"/>
      <c r="AI18" s="603"/>
      <c r="AJ18" s="603"/>
      <c r="AK18" s="603"/>
      <c r="AL18" s="603"/>
      <c r="AM18" s="603"/>
      <c r="AN18" s="603"/>
      <c r="AO18" s="603"/>
      <c r="AP18" s="603"/>
      <c r="AQ18" s="603"/>
      <c r="AR18" s="603"/>
      <c r="AS18" s="603"/>
      <c r="AT18" s="603"/>
      <c r="AU18" s="603"/>
      <c r="AV18" s="603"/>
      <c r="AW18" s="603"/>
      <c r="AX18" s="603"/>
      <c r="AY18" s="603"/>
      <c r="AZ18" s="603"/>
      <c r="BA18" s="603"/>
      <c r="BB18" s="603"/>
      <c r="BC18" s="603"/>
      <c r="BD18" s="603"/>
      <c r="BE18" s="603"/>
      <c r="BF18" s="603"/>
      <c r="BG18" s="603"/>
      <c r="BH18" s="603"/>
      <c r="BI18" s="603"/>
      <c r="BJ18" s="603"/>
      <c r="BK18" s="603"/>
      <c r="BL18" s="603"/>
      <c r="BM18" s="603"/>
      <c r="BN18" s="603"/>
      <c r="BO18" s="603"/>
      <c r="BP18" s="603"/>
      <c r="BQ18" s="603"/>
      <c r="BR18" s="603"/>
      <c r="BS18" s="603"/>
      <c r="BT18" s="603"/>
      <c r="BU18" s="603"/>
      <c r="BV18" s="603"/>
      <c r="BW18" s="603"/>
      <c r="BX18" s="603"/>
      <c r="BY18" s="603"/>
      <c r="BZ18" s="603"/>
      <c r="CA18" s="603"/>
      <c r="CB18" s="603"/>
      <c r="CC18" s="603"/>
      <c r="CD18" s="603"/>
      <c r="CE18" s="603"/>
      <c r="CF18" s="603"/>
      <c r="CG18" s="603"/>
      <c r="CH18" s="603"/>
      <c r="CI18" s="603"/>
      <c r="CJ18" s="603"/>
      <c r="CK18" s="603"/>
      <c r="CL18" s="603"/>
      <c r="CM18" s="603"/>
      <c r="CN18" s="603"/>
      <c r="CO18" s="603"/>
      <c r="CP18" s="603"/>
      <c r="CQ18" s="603"/>
      <c r="CR18" s="603"/>
      <c r="CS18" s="603"/>
      <c r="CT18" s="603"/>
      <c r="CU18" s="603"/>
      <c r="CV18" s="603"/>
      <c r="CW18" s="603"/>
      <c r="CX18" s="603"/>
      <c r="CY18" s="603"/>
      <c r="CZ18" s="603"/>
      <c r="DA18" s="603"/>
      <c r="DB18" s="603"/>
      <c r="DC18" s="603"/>
      <c r="DD18" s="603"/>
      <c r="DE18" s="603"/>
      <c r="DF18" s="603"/>
      <c r="DG18" s="603"/>
      <c r="DH18" s="603"/>
      <c r="DI18" s="603"/>
      <c r="DJ18" s="603"/>
      <c r="DK18" s="603"/>
      <c r="DL18" s="603"/>
      <c r="DM18" s="603"/>
      <c r="DN18" s="603"/>
      <c r="DO18" s="603"/>
      <c r="DP18" s="603"/>
      <c r="DQ18" s="603"/>
      <c r="DR18" s="603"/>
      <c r="DS18" s="603"/>
      <c r="DT18" s="603"/>
      <c r="DU18" s="603"/>
      <c r="DV18" s="603"/>
      <c r="DW18" s="603"/>
      <c r="DX18" s="603"/>
      <c r="DY18" s="603"/>
      <c r="DZ18" s="603"/>
      <c r="EA18" s="603"/>
      <c r="EB18" s="603"/>
      <c r="EC18" s="603"/>
      <c r="ED18" s="603"/>
      <c r="EE18" s="603"/>
      <c r="EF18" s="603"/>
      <c r="EG18" s="603"/>
      <c r="EH18" s="603"/>
      <c r="EI18" s="603"/>
      <c r="EJ18" s="603"/>
      <c r="EK18" s="603"/>
      <c r="EL18" s="603"/>
      <c r="EM18" s="603"/>
      <c r="EN18" s="603"/>
      <c r="EO18" s="603"/>
      <c r="EP18" s="603"/>
      <c r="EQ18" s="603"/>
      <c r="ER18" s="603"/>
      <c r="ES18" s="603"/>
      <c r="ET18" s="603"/>
      <c r="EU18" s="603"/>
      <c r="EV18" s="603"/>
      <c r="EW18" s="603"/>
      <c r="EX18" s="603"/>
      <c r="EY18" s="603"/>
      <c r="EZ18" s="603"/>
    </row>
    <row r="19" spans="1:156" s="605" customFormat="1" ht="20.100000000000001" customHeight="1" thickBot="1">
      <c r="A19" s="715" t="s">
        <v>2516</v>
      </c>
      <c r="B19" s="716">
        <v>69776000</v>
      </c>
      <c r="C19" s="717">
        <f t="shared" si="0"/>
        <v>8.0037862442150463E-3</v>
      </c>
      <c r="D19" s="716">
        <v>52500000</v>
      </c>
      <c r="E19" s="718">
        <f t="shared" si="1"/>
        <v>9.012440773243386E-3</v>
      </c>
      <c r="F19" s="716">
        <f t="shared" si="3"/>
        <v>17276000</v>
      </c>
      <c r="G19" s="719">
        <f t="shared" si="2"/>
        <v>0.32906666666666667</v>
      </c>
      <c r="H19" s="603"/>
      <c r="I19" s="603"/>
      <c r="J19" s="603"/>
      <c r="K19" s="603"/>
      <c r="L19" s="603"/>
      <c r="M19" s="603"/>
      <c r="N19" s="603"/>
      <c r="O19" s="603"/>
      <c r="P19" s="603"/>
      <c r="Q19" s="603"/>
      <c r="R19" s="603"/>
      <c r="S19" s="603"/>
      <c r="T19" s="603"/>
      <c r="U19" s="603"/>
      <c r="V19" s="603"/>
      <c r="W19" s="603"/>
      <c r="X19" s="603"/>
      <c r="Y19" s="603"/>
      <c r="Z19" s="603"/>
      <c r="AA19" s="603"/>
      <c r="AB19" s="603"/>
      <c r="AC19" s="603"/>
      <c r="AD19" s="603"/>
      <c r="AE19" s="603"/>
      <c r="AF19" s="603"/>
      <c r="AG19" s="603"/>
      <c r="AH19" s="603"/>
      <c r="AI19" s="603"/>
      <c r="AJ19" s="603"/>
      <c r="AK19" s="603"/>
      <c r="AL19" s="603"/>
      <c r="AM19" s="603"/>
      <c r="AN19" s="603"/>
      <c r="AO19" s="603"/>
      <c r="AP19" s="603"/>
      <c r="AQ19" s="603"/>
      <c r="AR19" s="603"/>
      <c r="AS19" s="603"/>
      <c r="AT19" s="603"/>
      <c r="AU19" s="603"/>
      <c r="AV19" s="603"/>
      <c r="AW19" s="603"/>
      <c r="AX19" s="603"/>
      <c r="AY19" s="603"/>
      <c r="AZ19" s="603"/>
      <c r="BA19" s="603"/>
      <c r="BB19" s="603"/>
      <c r="BC19" s="603"/>
      <c r="BD19" s="603"/>
      <c r="BE19" s="603"/>
      <c r="BF19" s="603"/>
      <c r="BG19" s="603"/>
      <c r="BH19" s="603"/>
      <c r="BI19" s="603"/>
      <c r="BJ19" s="603"/>
      <c r="BK19" s="603"/>
      <c r="BL19" s="603"/>
      <c r="BM19" s="603"/>
      <c r="BN19" s="603"/>
      <c r="BO19" s="603"/>
      <c r="BP19" s="603"/>
      <c r="BQ19" s="603"/>
      <c r="BR19" s="603"/>
      <c r="BS19" s="603"/>
      <c r="BT19" s="603"/>
      <c r="BU19" s="603"/>
      <c r="BV19" s="603"/>
      <c r="BW19" s="603"/>
      <c r="BX19" s="603"/>
      <c r="BY19" s="603"/>
      <c r="BZ19" s="603"/>
      <c r="CA19" s="603"/>
      <c r="CB19" s="603"/>
      <c r="CC19" s="603"/>
      <c r="CD19" s="603"/>
      <c r="CE19" s="603"/>
      <c r="CF19" s="603"/>
      <c r="CG19" s="603"/>
      <c r="CH19" s="603"/>
      <c r="CI19" s="603"/>
      <c r="CJ19" s="603"/>
      <c r="CK19" s="603"/>
      <c r="CL19" s="603"/>
      <c r="CM19" s="603"/>
      <c r="CN19" s="603"/>
      <c r="CO19" s="603"/>
      <c r="CP19" s="603"/>
      <c r="CQ19" s="603"/>
      <c r="CR19" s="603"/>
      <c r="CS19" s="603"/>
      <c r="CT19" s="603"/>
      <c r="CU19" s="603"/>
      <c r="CV19" s="603"/>
      <c r="CW19" s="603"/>
      <c r="CX19" s="603"/>
      <c r="CY19" s="603"/>
      <c r="CZ19" s="603"/>
      <c r="DA19" s="603"/>
      <c r="DB19" s="603"/>
      <c r="DC19" s="603"/>
      <c r="DD19" s="603"/>
      <c r="DE19" s="603"/>
      <c r="DF19" s="603"/>
      <c r="DG19" s="603"/>
      <c r="DH19" s="603"/>
      <c r="DI19" s="603"/>
      <c r="DJ19" s="603"/>
      <c r="DK19" s="603"/>
      <c r="DL19" s="603"/>
      <c r="DM19" s="603"/>
      <c r="DN19" s="603"/>
      <c r="DO19" s="603"/>
      <c r="DP19" s="603"/>
      <c r="DQ19" s="603"/>
      <c r="DR19" s="603"/>
      <c r="DS19" s="603"/>
      <c r="DT19" s="603"/>
      <c r="DU19" s="603"/>
      <c r="DV19" s="603"/>
      <c r="DW19" s="603"/>
      <c r="DX19" s="603"/>
      <c r="DY19" s="603"/>
      <c r="DZ19" s="603"/>
      <c r="EA19" s="603"/>
      <c r="EB19" s="603"/>
      <c r="EC19" s="603"/>
      <c r="ED19" s="603"/>
      <c r="EE19" s="603"/>
      <c r="EF19" s="603"/>
      <c r="EG19" s="603"/>
      <c r="EH19" s="603"/>
      <c r="EI19" s="603"/>
      <c r="EJ19" s="603"/>
      <c r="EK19" s="603"/>
      <c r="EL19" s="603"/>
      <c r="EM19" s="603"/>
      <c r="EN19" s="603"/>
      <c r="EO19" s="603"/>
      <c r="EP19" s="603"/>
      <c r="EQ19" s="603"/>
      <c r="ER19" s="603"/>
      <c r="ES19" s="603"/>
      <c r="ET19" s="603"/>
      <c r="EU19" s="603"/>
      <c r="EV19" s="603"/>
      <c r="EW19" s="603"/>
      <c r="EX19" s="603"/>
      <c r="EY19" s="603"/>
      <c r="EZ19" s="603"/>
    </row>
    <row r="20" spans="1:156" s="661" customFormat="1" ht="21.95" customHeight="1">
      <c r="B20" s="701"/>
      <c r="C20" s="701"/>
      <c r="D20" s="702"/>
      <c r="G20" s="703"/>
    </row>
    <row r="21" spans="1:156" s="661" customFormat="1" ht="21.95" customHeight="1">
      <c r="B21" s="701"/>
      <c r="C21" s="701"/>
      <c r="D21" s="702"/>
    </row>
    <row r="22" spans="1:156" s="661" customFormat="1" ht="16.5">
      <c r="B22" s="701"/>
      <c r="C22" s="704"/>
      <c r="D22" s="702"/>
    </row>
    <row r="23" spans="1:156" s="661" customFormat="1" ht="16.5">
      <c r="B23" s="701"/>
      <c r="C23" s="701"/>
      <c r="D23" s="702"/>
    </row>
    <row r="24" spans="1:156" s="661" customFormat="1" ht="16.5">
      <c r="B24" s="701"/>
      <c r="C24" s="701"/>
      <c r="D24" s="702"/>
    </row>
    <row r="25" spans="1:156" s="661" customFormat="1" ht="16.5">
      <c r="B25" s="701"/>
      <c r="C25" s="701"/>
      <c r="D25" s="702"/>
    </row>
    <row r="26" spans="1:156" s="661" customFormat="1" ht="16.5">
      <c r="B26" s="701"/>
      <c r="C26" s="701"/>
      <c r="D26" s="702"/>
    </row>
    <row r="27" spans="1:156" s="661" customFormat="1" ht="16.5">
      <c r="B27" s="701"/>
      <c r="C27" s="701"/>
      <c r="D27" s="702"/>
    </row>
    <row r="28" spans="1:156" s="661" customFormat="1" ht="16.5">
      <c r="B28" s="701"/>
      <c r="C28" s="701"/>
      <c r="D28" s="702"/>
    </row>
    <row r="29" spans="1:156" s="661" customFormat="1" ht="16.5">
      <c r="B29" s="701"/>
      <c r="C29" s="701"/>
      <c r="D29" s="702"/>
    </row>
    <row r="30" spans="1:156" s="661" customFormat="1" ht="16.5">
      <c r="B30" s="701"/>
      <c r="C30" s="701"/>
      <c r="D30" s="702"/>
    </row>
    <row r="31" spans="1:156" s="661" customFormat="1" ht="16.5">
      <c r="B31" s="701"/>
      <c r="C31" s="701"/>
      <c r="D31" s="702"/>
    </row>
    <row r="32" spans="1:156" s="661" customFormat="1" ht="16.5">
      <c r="B32" s="701"/>
      <c r="C32" s="701"/>
      <c r="D32" s="702"/>
    </row>
    <row r="33" spans="2:4" s="661" customFormat="1" ht="16.5">
      <c r="B33" s="701"/>
      <c r="C33" s="701"/>
      <c r="D33" s="702"/>
    </row>
    <row r="34" spans="2:4" s="661" customFormat="1" ht="16.5">
      <c r="B34" s="701"/>
      <c r="C34" s="701"/>
      <c r="D34" s="702"/>
    </row>
    <row r="35" spans="2:4" s="661" customFormat="1" ht="16.5">
      <c r="B35" s="701"/>
      <c r="C35" s="701"/>
      <c r="D35" s="702"/>
    </row>
    <row r="36" spans="2:4" s="661" customFormat="1" ht="16.5">
      <c r="B36" s="701"/>
      <c r="C36" s="701"/>
      <c r="D36" s="702"/>
    </row>
    <row r="37" spans="2:4" s="661" customFormat="1" ht="16.5">
      <c r="B37" s="701"/>
      <c r="C37" s="701"/>
      <c r="D37" s="702"/>
    </row>
    <row r="38" spans="2:4" s="661" customFormat="1" ht="16.5">
      <c r="B38" s="701"/>
      <c r="C38" s="701"/>
      <c r="D38" s="702"/>
    </row>
    <row r="39" spans="2:4" s="661" customFormat="1" ht="16.5">
      <c r="B39" s="701"/>
      <c r="C39" s="701"/>
      <c r="D39" s="702"/>
    </row>
    <row r="40" spans="2:4" s="661" customFormat="1" ht="16.5">
      <c r="B40" s="701"/>
      <c r="C40" s="701"/>
      <c r="D40" s="702"/>
    </row>
    <row r="41" spans="2:4" s="661" customFormat="1" ht="16.5">
      <c r="B41" s="701"/>
      <c r="C41" s="701"/>
      <c r="D41" s="702"/>
    </row>
    <row r="42" spans="2:4" s="661" customFormat="1" ht="16.5">
      <c r="B42" s="701"/>
      <c r="C42" s="701"/>
      <c r="D42" s="702"/>
    </row>
    <row r="43" spans="2:4" s="661" customFormat="1" ht="16.5">
      <c r="B43" s="701"/>
      <c r="C43" s="701"/>
      <c r="D43" s="702"/>
    </row>
    <row r="44" spans="2:4" s="661" customFormat="1" ht="16.5">
      <c r="B44" s="701"/>
      <c r="C44" s="701"/>
      <c r="D44" s="702"/>
    </row>
    <row r="45" spans="2:4" s="661" customFormat="1" ht="16.5">
      <c r="B45" s="701"/>
      <c r="C45" s="701"/>
      <c r="D45" s="702"/>
    </row>
    <row r="46" spans="2:4" s="661" customFormat="1" ht="16.5">
      <c r="B46" s="701"/>
      <c r="C46" s="701"/>
      <c r="D46" s="702"/>
    </row>
    <row r="47" spans="2:4" s="661" customFormat="1" ht="16.5">
      <c r="B47" s="701"/>
      <c r="C47" s="701"/>
      <c r="D47" s="702"/>
    </row>
    <row r="48" spans="2:4" s="661" customFormat="1" ht="16.5">
      <c r="B48" s="701"/>
      <c r="C48" s="701"/>
      <c r="D48" s="702"/>
    </row>
    <row r="49" spans="2:4" s="661" customFormat="1" ht="16.5">
      <c r="B49" s="701"/>
      <c r="C49" s="701"/>
      <c r="D49" s="702"/>
    </row>
    <row r="50" spans="2:4" s="661" customFormat="1" ht="16.5">
      <c r="B50" s="701"/>
      <c r="C50" s="701"/>
      <c r="D50" s="702"/>
    </row>
    <row r="51" spans="2:4" s="661" customFormat="1" ht="16.5">
      <c r="B51" s="701"/>
      <c r="C51" s="701"/>
      <c r="D51" s="702"/>
    </row>
    <row r="52" spans="2:4" s="661" customFormat="1" ht="16.5">
      <c r="B52" s="701"/>
      <c r="C52" s="701"/>
      <c r="D52" s="702"/>
    </row>
    <row r="53" spans="2:4" s="661" customFormat="1" ht="16.5">
      <c r="B53" s="701"/>
      <c r="C53" s="701"/>
      <c r="D53" s="702"/>
    </row>
    <row r="54" spans="2:4" s="661" customFormat="1" ht="16.5">
      <c r="B54" s="701"/>
      <c r="C54" s="701"/>
      <c r="D54" s="702"/>
    </row>
    <row r="55" spans="2:4" s="661" customFormat="1" ht="16.5">
      <c r="B55" s="701"/>
      <c r="C55" s="701"/>
      <c r="D55" s="702"/>
    </row>
    <row r="56" spans="2:4" s="661" customFormat="1" ht="16.5">
      <c r="B56" s="701"/>
      <c r="C56" s="701"/>
      <c r="D56" s="702"/>
    </row>
    <row r="57" spans="2:4" s="661" customFormat="1" ht="16.5">
      <c r="B57" s="701"/>
      <c r="C57" s="701"/>
      <c r="D57" s="702"/>
    </row>
    <row r="58" spans="2:4" s="661" customFormat="1" ht="16.5">
      <c r="B58" s="701"/>
      <c r="C58" s="701"/>
      <c r="D58" s="702"/>
    </row>
    <row r="59" spans="2:4" s="661" customFormat="1" ht="21.75" customHeight="1">
      <c r="B59" s="701"/>
      <c r="C59" s="701"/>
      <c r="D59" s="702"/>
    </row>
    <row r="60" spans="2:4" s="661" customFormat="1" ht="21.75" customHeight="1">
      <c r="B60" s="701"/>
      <c r="C60" s="701"/>
      <c r="D60" s="702"/>
    </row>
    <row r="61" spans="2:4" s="661" customFormat="1" ht="21.75" customHeight="1">
      <c r="B61" s="701"/>
      <c r="C61" s="701"/>
      <c r="D61" s="702"/>
    </row>
    <row r="62" spans="2:4" s="661" customFormat="1" ht="21.75" customHeight="1">
      <c r="B62" s="701"/>
      <c r="C62" s="701"/>
      <c r="D62" s="702"/>
    </row>
    <row r="63" spans="2:4" s="661" customFormat="1" ht="21.75" customHeight="1">
      <c r="B63" s="701"/>
      <c r="C63" s="701"/>
      <c r="D63" s="702"/>
    </row>
    <row r="64" spans="2:4" s="661" customFormat="1" ht="21.75" customHeight="1">
      <c r="B64" s="701"/>
      <c r="C64" s="701"/>
      <c r="D64" s="702"/>
    </row>
    <row r="65" spans="2:4" s="661" customFormat="1" ht="21.75" customHeight="1">
      <c r="B65" s="701"/>
      <c r="C65" s="701"/>
      <c r="D65" s="702"/>
    </row>
    <row r="66" spans="2:4" s="661" customFormat="1" ht="21.75" customHeight="1">
      <c r="B66" s="701"/>
      <c r="C66" s="701"/>
      <c r="D66" s="702"/>
    </row>
    <row r="67" spans="2:4" s="661" customFormat="1" ht="21.75" customHeight="1">
      <c r="B67" s="701"/>
      <c r="C67" s="701"/>
      <c r="D67" s="702"/>
    </row>
    <row r="68" spans="2:4" s="661" customFormat="1" ht="21.75" customHeight="1">
      <c r="B68" s="701"/>
      <c r="C68" s="701"/>
      <c r="D68" s="702"/>
    </row>
    <row r="69" spans="2:4" s="661" customFormat="1" ht="21.75" customHeight="1">
      <c r="B69" s="701"/>
      <c r="C69" s="701"/>
      <c r="D69" s="702"/>
    </row>
    <row r="70" spans="2:4" s="661" customFormat="1" ht="21.75" customHeight="1">
      <c r="B70" s="701"/>
      <c r="C70" s="701"/>
      <c r="D70" s="702"/>
    </row>
    <row r="71" spans="2:4" s="661" customFormat="1" ht="21.75" customHeight="1">
      <c r="B71" s="701"/>
      <c r="C71" s="701"/>
      <c r="D71" s="702"/>
    </row>
    <row r="72" spans="2:4" s="661" customFormat="1" ht="21.75" customHeight="1">
      <c r="B72" s="701"/>
      <c r="C72" s="701"/>
      <c r="D72" s="702"/>
    </row>
    <row r="73" spans="2:4" s="661" customFormat="1" ht="21.75" customHeight="1">
      <c r="B73" s="701"/>
      <c r="C73" s="701"/>
      <c r="D73" s="702"/>
    </row>
    <row r="74" spans="2:4" s="661" customFormat="1" ht="21.75" customHeight="1">
      <c r="B74" s="701"/>
      <c r="C74" s="701"/>
      <c r="D74" s="702"/>
    </row>
    <row r="75" spans="2:4" s="661" customFormat="1" ht="21.75" customHeight="1">
      <c r="B75" s="701"/>
      <c r="C75" s="701"/>
      <c r="D75" s="702"/>
    </row>
    <row r="76" spans="2:4" s="661" customFormat="1" ht="21.75" customHeight="1">
      <c r="B76" s="701"/>
      <c r="C76" s="701"/>
      <c r="D76" s="702"/>
    </row>
    <row r="77" spans="2:4" s="661" customFormat="1" ht="21.75" customHeight="1">
      <c r="B77" s="701"/>
      <c r="C77" s="701"/>
      <c r="D77" s="702"/>
    </row>
    <row r="78" spans="2:4" s="661" customFormat="1" ht="21.75" customHeight="1">
      <c r="B78" s="701"/>
      <c r="C78" s="701"/>
      <c r="D78" s="702"/>
    </row>
    <row r="79" spans="2:4" s="661" customFormat="1" ht="21.75" customHeight="1">
      <c r="B79" s="701"/>
      <c r="C79" s="701"/>
      <c r="D79" s="702"/>
    </row>
    <row r="80" spans="2:4" s="661" customFormat="1" ht="21.75" customHeight="1">
      <c r="B80" s="701"/>
      <c r="C80" s="701"/>
      <c r="D80" s="702"/>
    </row>
    <row r="81" spans="2:4" s="661" customFormat="1" ht="21.75" customHeight="1">
      <c r="B81" s="701"/>
      <c r="C81" s="701"/>
      <c r="D81" s="702"/>
    </row>
    <row r="82" spans="2:4" s="661" customFormat="1" ht="21.75" customHeight="1">
      <c r="B82" s="701"/>
      <c r="C82" s="701"/>
      <c r="D82" s="702"/>
    </row>
    <row r="83" spans="2:4" s="661" customFormat="1" ht="21.75" customHeight="1">
      <c r="B83" s="701"/>
      <c r="C83" s="701"/>
      <c r="D83" s="702"/>
    </row>
    <row r="84" spans="2:4" s="661" customFormat="1" ht="21.75" customHeight="1">
      <c r="B84" s="701"/>
      <c r="C84" s="701"/>
      <c r="D84" s="702"/>
    </row>
    <row r="85" spans="2:4" s="661" customFormat="1" ht="21.75" customHeight="1">
      <c r="B85" s="701"/>
      <c r="C85" s="701"/>
      <c r="D85" s="702"/>
    </row>
    <row r="86" spans="2:4" s="661" customFormat="1" ht="21.75" customHeight="1">
      <c r="B86" s="701"/>
      <c r="C86" s="701"/>
      <c r="D86" s="702"/>
    </row>
    <row r="87" spans="2:4" s="661" customFormat="1" ht="21.75" customHeight="1">
      <c r="B87" s="701"/>
      <c r="C87" s="701"/>
      <c r="D87" s="702"/>
    </row>
    <row r="88" spans="2:4" s="661" customFormat="1" ht="21.75" customHeight="1">
      <c r="B88" s="701"/>
      <c r="C88" s="701"/>
      <c r="D88" s="702"/>
    </row>
    <row r="89" spans="2:4" s="661" customFormat="1" ht="21.75" customHeight="1">
      <c r="B89" s="701"/>
      <c r="C89" s="701"/>
      <c r="D89" s="702"/>
    </row>
    <row r="90" spans="2:4" s="661" customFormat="1" ht="21.75" customHeight="1">
      <c r="B90" s="701"/>
      <c r="C90" s="701"/>
      <c r="D90" s="702"/>
    </row>
    <row r="91" spans="2:4" s="661" customFormat="1" ht="21.75" customHeight="1">
      <c r="B91" s="701"/>
      <c r="C91" s="701"/>
      <c r="D91" s="702"/>
    </row>
    <row r="92" spans="2:4" s="661" customFormat="1" ht="21.75" customHeight="1">
      <c r="B92" s="701"/>
      <c r="C92" s="701"/>
      <c r="D92" s="702"/>
    </row>
    <row r="93" spans="2:4" s="661" customFormat="1" ht="21.75" customHeight="1">
      <c r="B93" s="701"/>
      <c r="C93" s="701"/>
      <c r="D93" s="702"/>
    </row>
    <row r="94" spans="2:4" s="661" customFormat="1" ht="21.75" customHeight="1">
      <c r="B94" s="701"/>
      <c r="C94" s="701"/>
      <c r="D94" s="702"/>
    </row>
    <row r="95" spans="2:4" s="661" customFormat="1" ht="21.75" customHeight="1">
      <c r="B95" s="701"/>
      <c r="C95" s="701"/>
      <c r="D95" s="702"/>
    </row>
    <row r="96" spans="2:4" s="661" customFormat="1" ht="21.75" customHeight="1">
      <c r="B96" s="701"/>
      <c r="C96" s="701"/>
      <c r="D96" s="702"/>
    </row>
    <row r="97" spans="2:4" s="661" customFormat="1" ht="21.75" customHeight="1">
      <c r="B97" s="701"/>
      <c r="C97" s="701"/>
      <c r="D97" s="702"/>
    </row>
    <row r="98" spans="2:4" s="661" customFormat="1" ht="21.75" customHeight="1">
      <c r="B98" s="701"/>
      <c r="C98" s="701"/>
      <c r="D98" s="702"/>
    </row>
    <row r="99" spans="2:4" s="661" customFormat="1" ht="21.75" customHeight="1">
      <c r="B99" s="701"/>
      <c r="C99" s="701"/>
      <c r="D99" s="702"/>
    </row>
    <row r="100" spans="2:4" s="661" customFormat="1" ht="21.75" customHeight="1">
      <c r="B100" s="701"/>
      <c r="C100" s="701"/>
      <c r="D100" s="702"/>
    </row>
    <row r="101" spans="2:4" s="661" customFormat="1" ht="21.75" customHeight="1">
      <c r="B101" s="701"/>
      <c r="C101" s="701"/>
      <c r="D101" s="702"/>
    </row>
    <row r="102" spans="2:4" s="661" customFormat="1" ht="21.75" customHeight="1">
      <c r="B102" s="701"/>
      <c r="C102" s="701"/>
      <c r="D102" s="702"/>
    </row>
    <row r="103" spans="2:4" s="661" customFormat="1" ht="21.75" customHeight="1">
      <c r="B103" s="701"/>
      <c r="C103" s="701"/>
      <c r="D103" s="702"/>
    </row>
    <row r="104" spans="2:4" s="661" customFormat="1" ht="21.75" customHeight="1">
      <c r="B104" s="701"/>
      <c r="C104" s="701"/>
      <c r="D104" s="702"/>
    </row>
    <row r="105" spans="2:4" s="661" customFormat="1" ht="21.75" customHeight="1">
      <c r="B105" s="701"/>
      <c r="C105" s="701"/>
      <c r="D105" s="702"/>
    </row>
    <row r="106" spans="2:4" s="661" customFormat="1" ht="21.75" customHeight="1">
      <c r="B106" s="701"/>
      <c r="C106" s="701"/>
      <c r="D106" s="702"/>
    </row>
    <row r="107" spans="2:4" s="661" customFormat="1" ht="21.75" customHeight="1">
      <c r="B107" s="701"/>
      <c r="C107" s="701"/>
      <c r="D107" s="702"/>
    </row>
    <row r="108" spans="2:4" s="661" customFormat="1" ht="21.75" customHeight="1">
      <c r="B108" s="701"/>
      <c r="C108" s="701"/>
      <c r="D108" s="702"/>
    </row>
    <row r="109" spans="2:4" s="661" customFormat="1" ht="21.75" customHeight="1">
      <c r="B109" s="701"/>
      <c r="C109" s="701"/>
      <c r="D109" s="702"/>
    </row>
    <row r="110" spans="2:4" s="661" customFormat="1" ht="21.75" customHeight="1">
      <c r="B110" s="701"/>
      <c r="C110" s="701"/>
      <c r="D110" s="702"/>
    </row>
    <row r="111" spans="2:4" s="661" customFormat="1" ht="21.75" customHeight="1">
      <c r="B111" s="701"/>
      <c r="C111" s="701"/>
      <c r="D111" s="702"/>
    </row>
    <row r="112" spans="2:4" s="661" customFormat="1" ht="21.75" customHeight="1">
      <c r="B112" s="701"/>
      <c r="C112" s="701"/>
      <c r="D112" s="702"/>
    </row>
    <row r="113" spans="2:4" s="661" customFormat="1" ht="21.75" customHeight="1">
      <c r="B113" s="701"/>
      <c r="C113" s="701"/>
      <c r="D113" s="702"/>
    </row>
    <row r="114" spans="2:4" s="661" customFormat="1" ht="21.75" customHeight="1">
      <c r="B114" s="701"/>
      <c r="C114" s="701"/>
      <c r="D114" s="702"/>
    </row>
    <row r="115" spans="2:4" s="661" customFormat="1" ht="21.75" customHeight="1">
      <c r="B115" s="701"/>
      <c r="C115" s="701"/>
      <c r="D115" s="702"/>
    </row>
    <row r="116" spans="2:4" s="661" customFormat="1" ht="21.75" customHeight="1">
      <c r="B116" s="701"/>
      <c r="C116" s="701"/>
      <c r="D116" s="702"/>
    </row>
    <row r="117" spans="2:4" s="661" customFormat="1" ht="21.75" customHeight="1">
      <c r="B117" s="701"/>
      <c r="C117" s="701"/>
      <c r="D117" s="702"/>
    </row>
    <row r="118" spans="2:4" s="661" customFormat="1" ht="21.75" customHeight="1">
      <c r="B118" s="701"/>
      <c r="C118" s="701"/>
      <c r="D118" s="702"/>
    </row>
    <row r="119" spans="2:4" s="661" customFormat="1" ht="21.75" customHeight="1">
      <c r="B119" s="701"/>
      <c r="C119" s="701"/>
      <c r="D119" s="702"/>
    </row>
    <row r="120" spans="2:4" s="661" customFormat="1" ht="21.75" customHeight="1">
      <c r="B120" s="701"/>
      <c r="C120" s="701"/>
      <c r="D120" s="702"/>
    </row>
    <row r="121" spans="2:4" s="661" customFormat="1" ht="21.75" customHeight="1">
      <c r="B121" s="701"/>
      <c r="C121" s="701"/>
      <c r="D121" s="702"/>
    </row>
    <row r="122" spans="2:4" s="661" customFormat="1" ht="21.75" customHeight="1">
      <c r="B122" s="701"/>
      <c r="C122" s="701"/>
      <c r="D122" s="702"/>
    </row>
    <row r="123" spans="2:4" s="661" customFormat="1" ht="21.75" customHeight="1">
      <c r="B123" s="701"/>
      <c r="C123" s="701"/>
      <c r="D123" s="702"/>
    </row>
    <row r="124" spans="2:4" s="661" customFormat="1" ht="21.75" customHeight="1">
      <c r="B124" s="701"/>
      <c r="C124" s="701"/>
      <c r="D124" s="702"/>
    </row>
    <row r="125" spans="2:4" s="661" customFormat="1" ht="21.75" customHeight="1">
      <c r="B125" s="701"/>
      <c r="C125" s="701"/>
      <c r="D125" s="702"/>
    </row>
    <row r="126" spans="2:4" s="661" customFormat="1" ht="21.75" customHeight="1">
      <c r="B126" s="701"/>
      <c r="C126" s="701"/>
      <c r="D126" s="702"/>
    </row>
    <row r="127" spans="2:4" s="661" customFormat="1" ht="21.75" customHeight="1">
      <c r="B127" s="701"/>
      <c r="C127" s="701"/>
      <c r="D127" s="702"/>
    </row>
    <row r="128" spans="2:4" s="661" customFormat="1" ht="21.75" customHeight="1">
      <c r="B128" s="701"/>
      <c r="C128" s="701"/>
      <c r="D128" s="702"/>
    </row>
    <row r="129" spans="2:4" s="661" customFormat="1" ht="21.75" customHeight="1">
      <c r="B129" s="701"/>
      <c r="C129" s="701"/>
      <c r="D129" s="702"/>
    </row>
    <row r="130" spans="2:4" s="661" customFormat="1" ht="21.75" customHeight="1">
      <c r="B130" s="701"/>
      <c r="C130" s="701"/>
      <c r="D130" s="702"/>
    </row>
    <row r="131" spans="2:4" s="661" customFormat="1" ht="21.75" customHeight="1">
      <c r="B131" s="701"/>
      <c r="C131" s="701"/>
      <c r="D131" s="702"/>
    </row>
    <row r="132" spans="2:4" s="661" customFormat="1" ht="21.75" customHeight="1">
      <c r="B132" s="701"/>
      <c r="C132" s="701"/>
      <c r="D132" s="702"/>
    </row>
    <row r="133" spans="2:4" s="661" customFormat="1" ht="21.75" customHeight="1">
      <c r="B133" s="701"/>
      <c r="C133" s="701"/>
      <c r="D133" s="702"/>
    </row>
    <row r="134" spans="2:4" s="661" customFormat="1" ht="21.75" customHeight="1">
      <c r="B134" s="701"/>
      <c r="C134" s="701"/>
      <c r="D134" s="702"/>
    </row>
  </sheetData>
  <mergeCells count="8">
    <mergeCell ref="A1:G1"/>
    <mergeCell ref="A2:G2"/>
    <mergeCell ref="F3:G3"/>
    <mergeCell ref="A4:G4"/>
    <mergeCell ref="A5:A6"/>
    <mergeCell ref="B5:C5"/>
    <mergeCell ref="D5:E5"/>
    <mergeCell ref="F5:G5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firstPageNumber="10" orientation="landscape" useFirstPageNumber="1" r:id="rId1"/>
  <headerFooter alignWithMargins="0">
    <oddFooter>&amp;C&amp;[11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EV215"/>
  <sheetViews>
    <sheetView view="pageBreakPreview" zoomScaleNormal="100" zoomScaleSheetLayoutView="100" workbookViewId="0">
      <pane xSplit="1" ySplit="5" topLeftCell="B39" activePane="bottomRight" state="frozen"/>
      <selection pane="topRight" activeCell="B1" sqref="B1"/>
      <selection pane="bottomLeft" activeCell="A6" sqref="A6"/>
      <selection pane="bottomRight" activeCell="I1" sqref="I1:AL1048576"/>
    </sheetView>
  </sheetViews>
  <sheetFormatPr defaultColWidth="9" defaultRowHeight="21.75" customHeight="1"/>
  <cols>
    <col min="1" max="1" width="29.125" style="705" bestFit="1" customWidth="1"/>
    <col min="2" max="2" width="15.625" style="706" customWidth="1"/>
    <col min="3" max="3" width="10.625" style="706" customWidth="1"/>
    <col min="4" max="4" width="15.625" style="707" customWidth="1"/>
    <col min="5" max="5" width="10.625" style="705" customWidth="1"/>
    <col min="6" max="6" width="15.625" style="705" customWidth="1"/>
    <col min="7" max="7" width="10.625" style="705" customWidth="1"/>
    <col min="8" max="8" width="4" style="705" customWidth="1"/>
    <col min="9" max="9" width="21.125" style="705" hidden="1" customWidth="1"/>
    <col min="10" max="11" width="4" style="705" hidden="1" customWidth="1"/>
    <col min="12" max="12" width="15.25" style="705" hidden="1" customWidth="1"/>
    <col min="13" max="13" width="10.75" style="705" hidden="1" customWidth="1"/>
    <col min="14" max="14" width="12" style="705" hidden="1" customWidth="1"/>
    <col min="15" max="15" width="3" style="705" hidden="1" customWidth="1"/>
    <col min="16" max="16" width="12.875" style="705" hidden="1" customWidth="1"/>
    <col min="17" max="17" width="3.75" style="705" hidden="1" customWidth="1"/>
    <col min="18" max="18" width="14.625" style="705" hidden="1" customWidth="1"/>
    <col min="19" max="19" width="9.25" style="705" hidden="1" customWidth="1"/>
    <col min="20" max="20" width="0" style="705" hidden="1" customWidth="1"/>
    <col min="21" max="21" width="16.25" style="705" hidden="1" customWidth="1"/>
    <col min="22" max="22" width="14.5" style="705" hidden="1" customWidth="1"/>
    <col min="23" max="38" width="0" style="705" hidden="1" customWidth="1"/>
    <col min="39" max="16384" width="9" style="705"/>
  </cols>
  <sheetData>
    <row r="1" spans="1:152" s="598" customFormat="1" ht="34.5" customHeight="1">
      <c r="A1" s="1882" t="s">
        <v>2523</v>
      </c>
      <c r="B1" s="1882"/>
      <c r="C1" s="1882"/>
      <c r="D1" s="1882"/>
      <c r="E1" s="1882"/>
      <c r="F1" s="1882"/>
      <c r="G1" s="1882"/>
      <c r="H1" s="596"/>
      <c r="I1" s="596"/>
      <c r="J1" s="596"/>
      <c r="K1" s="596"/>
      <c r="L1" s="597"/>
      <c r="M1" s="597"/>
      <c r="N1" s="597"/>
      <c r="O1" s="597"/>
      <c r="P1" s="597"/>
      <c r="Q1" s="597"/>
      <c r="R1" s="597"/>
      <c r="S1" s="597"/>
      <c r="T1" s="597"/>
      <c r="U1" s="597"/>
      <c r="V1" s="597"/>
      <c r="W1" s="597"/>
      <c r="X1" s="597"/>
      <c r="Y1" s="597"/>
      <c r="Z1" s="597"/>
      <c r="AA1" s="597"/>
      <c r="AB1" s="597"/>
      <c r="AC1" s="597"/>
      <c r="AD1" s="597"/>
      <c r="AE1" s="597"/>
      <c r="AF1" s="597"/>
      <c r="AG1" s="597"/>
      <c r="AH1" s="597"/>
      <c r="AI1" s="597"/>
      <c r="AJ1" s="597"/>
      <c r="AK1" s="597"/>
      <c r="AL1" s="597"/>
      <c r="AM1" s="597"/>
      <c r="AN1" s="597"/>
      <c r="AO1" s="597"/>
      <c r="AP1" s="597"/>
      <c r="AQ1" s="597"/>
      <c r="AR1" s="597"/>
      <c r="AS1" s="597"/>
      <c r="AT1" s="597"/>
      <c r="AU1" s="597"/>
      <c r="AV1" s="597"/>
      <c r="AW1" s="597"/>
      <c r="AX1" s="597"/>
      <c r="AY1" s="597"/>
      <c r="AZ1" s="597"/>
      <c r="BA1" s="597"/>
      <c r="BB1" s="597"/>
      <c r="BC1" s="597"/>
      <c r="BD1" s="597"/>
      <c r="BE1" s="597"/>
      <c r="BF1" s="597"/>
      <c r="BG1" s="597"/>
      <c r="BH1" s="597"/>
      <c r="BI1" s="597"/>
      <c r="BJ1" s="597"/>
      <c r="BK1" s="597"/>
      <c r="BL1" s="597"/>
      <c r="BM1" s="597"/>
      <c r="BN1" s="597"/>
      <c r="BO1" s="597"/>
      <c r="BP1" s="597"/>
      <c r="BQ1" s="597"/>
      <c r="BR1" s="597"/>
      <c r="BS1" s="597"/>
      <c r="BT1" s="597"/>
      <c r="BU1" s="597"/>
      <c r="BV1" s="597"/>
      <c r="BW1" s="597"/>
      <c r="BX1" s="597"/>
      <c r="BY1" s="597"/>
      <c r="BZ1" s="597"/>
      <c r="CA1" s="597"/>
      <c r="CB1" s="597"/>
      <c r="CC1" s="597"/>
      <c r="CD1" s="597"/>
      <c r="CE1" s="597"/>
      <c r="CF1" s="597"/>
      <c r="CG1" s="597"/>
      <c r="CH1" s="597"/>
      <c r="CI1" s="597"/>
      <c r="CJ1" s="597"/>
      <c r="CK1" s="597"/>
      <c r="CL1" s="597"/>
      <c r="CM1" s="597"/>
      <c r="CN1" s="597"/>
      <c r="CO1" s="597"/>
      <c r="CP1" s="597"/>
      <c r="CQ1" s="597"/>
      <c r="CR1" s="597"/>
      <c r="CS1" s="597"/>
      <c r="CT1" s="597"/>
      <c r="CU1" s="597"/>
      <c r="CV1" s="597"/>
      <c r="CW1" s="597"/>
      <c r="CX1" s="597"/>
      <c r="CY1" s="597"/>
      <c r="CZ1" s="597"/>
      <c r="DA1" s="597"/>
      <c r="DB1" s="597"/>
      <c r="DC1" s="597"/>
      <c r="DD1" s="597"/>
      <c r="DE1" s="597"/>
      <c r="DF1" s="597"/>
      <c r="DG1" s="597"/>
      <c r="DH1" s="597"/>
      <c r="DI1" s="597"/>
      <c r="DJ1" s="597"/>
      <c r="DK1" s="597"/>
      <c r="DL1" s="597"/>
      <c r="DM1" s="597"/>
      <c r="DN1" s="597"/>
      <c r="DO1" s="597"/>
      <c r="DP1" s="597"/>
      <c r="DQ1" s="597"/>
      <c r="DR1" s="597"/>
      <c r="DS1" s="597"/>
      <c r="DT1" s="597"/>
      <c r="DU1" s="597"/>
      <c r="DV1" s="597"/>
      <c r="DW1" s="597"/>
      <c r="DX1" s="597"/>
      <c r="DY1" s="597"/>
      <c r="DZ1" s="597"/>
      <c r="EA1" s="597"/>
      <c r="EB1" s="597"/>
      <c r="EC1" s="597"/>
      <c r="ED1" s="597"/>
      <c r="EE1" s="597"/>
      <c r="EF1" s="597"/>
      <c r="EG1" s="597"/>
      <c r="EH1" s="597"/>
      <c r="EI1" s="597"/>
      <c r="EJ1" s="597"/>
      <c r="EK1" s="597"/>
      <c r="EL1" s="597"/>
      <c r="EM1" s="597"/>
      <c r="EN1" s="597"/>
      <c r="EO1" s="597"/>
      <c r="EP1" s="597"/>
      <c r="EQ1" s="597"/>
      <c r="ER1" s="597"/>
      <c r="ES1" s="597"/>
      <c r="ET1" s="597"/>
      <c r="EU1" s="597"/>
      <c r="EV1" s="597"/>
    </row>
    <row r="2" spans="1:152" s="598" customFormat="1" ht="17.25" customHeight="1">
      <c r="A2" s="1892"/>
      <c r="B2" s="1892"/>
      <c r="C2" s="1892"/>
      <c r="D2" s="1892"/>
      <c r="E2" s="1892"/>
      <c r="F2" s="1892"/>
      <c r="G2" s="1892"/>
      <c r="I2" s="1789"/>
      <c r="J2" s="1789"/>
      <c r="K2" s="1789"/>
      <c r="L2" s="597"/>
      <c r="M2" s="597"/>
      <c r="N2" s="597"/>
      <c r="O2" s="597"/>
      <c r="P2" s="597"/>
      <c r="Q2" s="597"/>
      <c r="R2" s="597"/>
      <c r="S2" s="597"/>
      <c r="T2" s="597"/>
      <c r="U2" s="597"/>
      <c r="V2" s="597"/>
      <c r="W2" s="597"/>
      <c r="X2" s="597"/>
      <c r="Y2" s="597"/>
      <c r="Z2" s="597"/>
      <c r="AA2" s="597"/>
      <c r="AB2" s="597"/>
      <c r="AC2" s="597"/>
      <c r="AD2" s="597"/>
      <c r="AE2" s="597"/>
      <c r="AF2" s="597"/>
      <c r="AG2" s="597"/>
      <c r="AH2" s="597"/>
      <c r="AI2" s="597"/>
      <c r="AJ2" s="597"/>
      <c r="AK2" s="597"/>
      <c r="AL2" s="597"/>
      <c r="AM2" s="597"/>
      <c r="AN2" s="597"/>
      <c r="AO2" s="597"/>
      <c r="AP2" s="597"/>
      <c r="AQ2" s="597"/>
      <c r="AR2" s="597"/>
      <c r="AS2" s="597"/>
      <c r="AT2" s="597"/>
      <c r="AU2" s="597"/>
      <c r="AV2" s="597"/>
      <c r="AW2" s="597"/>
      <c r="AX2" s="597"/>
      <c r="AY2" s="597"/>
      <c r="AZ2" s="597"/>
      <c r="BA2" s="597"/>
      <c r="BB2" s="597"/>
      <c r="BC2" s="597"/>
      <c r="BD2" s="597"/>
      <c r="BE2" s="597"/>
      <c r="BF2" s="597"/>
      <c r="BG2" s="597"/>
      <c r="BH2" s="597"/>
      <c r="BI2" s="597"/>
      <c r="BJ2" s="597"/>
      <c r="BK2" s="597"/>
      <c r="BL2" s="597"/>
      <c r="BM2" s="597"/>
      <c r="BN2" s="597"/>
      <c r="BO2" s="597"/>
      <c r="BP2" s="597"/>
      <c r="BQ2" s="597"/>
      <c r="BR2" s="597"/>
      <c r="BS2" s="597"/>
      <c r="BT2" s="597"/>
      <c r="BU2" s="597"/>
      <c r="BV2" s="597"/>
      <c r="BW2" s="597"/>
      <c r="BX2" s="597"/>
      <c r="BY2" s="597"/>
      <c r="BZ2" s="597"/>
      <c r="CA2" s="597"/>
      <c r="CB2" s="597"/>
      <c r="CC2" s="597"/>
      <c r="CD2" s="597"/>
      <c r="CE2" s="597"/>
      <c r="CF2" s="597"/>
      <c r="CG2" s="597"/>
      <c r="CH2" s="597"/>
      <c r="CI2" s="597"/>
      <c r="CJ2" s="597"/>
      <c r="CK2" s="597"/>
      <c r="CL2" s="597"/>
      <c r="CM2" s="597"/>
      <c r="CN2" s="597"/>
      <c r="CO2" s="597"/>
      <c r="CP2" s="597"/>
      <c r="CQ2" s="597"/>
      <c r="CR2" s="597"/>
      <c r="CS2" s="597"/>
      <c r="CT2" s="597"/>
      <c r="CU2" s="597"/>
      <c r="CV2" s="597"/>
      <c r="CW2" s="597"/>
      <c r="CX2" s="597"/>
      <c r="CY2" s="597"/>
      <c r="CZ2" s="597"/>
      <c r="DA2" s="597"/>
      <c r="DB2" s="597"/>
      <c r="DC2" s="597"/>
      <c r="DD2" s="597"/>
      <c r="DE2" s="597"/>
      <c r="DF2" s="597"/>
      <c r="DG2" s="597"/>
      <c r="DH2" s="597"/>
      <c r="DI2" s="597"/>
      <c r="DJ2" s="597"/>
      <c r="DK2" s="597"/>
      <c r="DL2" s="597"/>
      <c r="DM2" s="597"/>
      <c r="DN2" s="597"/>
      <c r="DO2" s="597"/>
      <c r="DP2" s="597"/>
      <c r="DQ2" s="597"/>
      <c r="DR2" s="597"/>
      <c r="DS2" s="597"/>
      <c r="DT2" s="597"/>
      <c r="DU2" s="597"/>
      <c r="DV2" s="597"/>
      <c r="DW2" s="597"/>
      <c r="DX2" s="597"/>
      <c r="DY2" s="597"/>
      <c r="DZ2" s="597"/>
      <c r="EA2" s="597"/>
      <c r="EB2" s="597"/>
      <c r="EC2" s="597"/>
      <c r="ED2" s="597"/>
      <c r="EE2" s="597"/>
      <c r="EF2" s="597"/>
      <c r="EG2" s="597"/>
      <c r="EH2" s="597"/>
      <c r="EI2" s="597"/>
      <c r="EJ2" s="597"/>
      <c r="EK2" s="597"/>
      <c r="EL2" s="597"/>
      <c r="EM2" s="597"/>
      <c r="EN2" s="597"/>
      <c r="EO2" s="597"/>
      <c r="EP2" s="597"/>
      <c r="EQ2" s="597"/>
      <c r="ER2" s="597"/>
      <c r="ES2" s="597"/>
      <c r="ET2" s="597"/>
      <c r="EU2" s="597"/>
      <c r="EV2" s="597"/>
    </row>
    <row r="3" spans="1:152" s="598" customFormat="1" ht="21.75" customHeight="1" thickBot="1">
      <c r="A3" s="599"/>
      <c r="B3" s="599"/>
      <c r="C3" s="599"/>
      <c r="D3" s="599"/>
      <c r="E3" s="599"/>
      <c r="F3" s="1894" t="s">
        <v>10</v>
      </c>
      <c r="G3" s="1894"/>
      <c r="H3" s="600"/>
      <c r="I3" s="600"/>
      <c r="J3" s="600"/>
      <c r="K3" s="600"/>
      <c r="L3" s="597"/>
      <c r="M3" s="597">
        <v>6299764000</v>
      </c>
      <c r="N3" s="597"/>
      <c r="O3" s="597"/>
      <c r="P3" s="597"/>
      <c r="Q3" s="597"/>
      <c r="R3" s="597"/>
      <c r="S3" s="597"/>
      <c r="T3" s="597"/>
      <c r="U3" s="597"/>
      <c r="V3" s="597"/>
      <c r="W3" s="597"/>
      <c r="X3" s="597"/>
      <c r="Y3" s="597"/>
      <c r="Z3" s="597"/>
      <c r="AA3" s="597"/>
      <c r="AB3" s="597"/>
      <c r="AC3" s="597"/>
      <c r="AD3" s="597"/>
      <c r="AE3" s="597"/>
      <c r="AF3" s="597"/>
      <c r="AG3" s="597"/>
      <c r="AH3" s="597"/>
      <c r="AI3" s="597"/>
      <c r="AJ3" s="597"/>
      <c r="AK3" s="597"/>
      <c r="AL3" s="597"/>
      <c r="AM3" s="597"/>
      <c r="AN3" s="597"/>
      <c r="AO3" s="597"/>
      <c r="AP3" s="597"/>
      <c r="AQ3" s="597"/>
      <c r="AR3" s="597"/>
      <c r="AS3" s="597"/>
      <c r="AT3" s="597"/>
      <c r="AU3" s="597"/>
      <c r="AV3" s="597"/>
      <c r="AW3" s="597"/>
      <c r="AX3" s="597"/>
      <c r="AY3" s="597"/>
      <c r="AZ3" s="597"/>
      <c r="BA3" s="597"/>
      <c r="BB3" s="597"/>
      <c r="BC3" s="597"/>
      <c r="BD3" s="597"/>
      <c r="BE3" s="597"/>
      <c r="BF3" s="597"/>
      <c r="BG3" s="597"/>
      <c r="BH3" s="597"/>
      <c r="BI3" s="597"/>
      <c r="BJ3" s="597"/>
      <c r="BK3" s="597"/>
      <c r="BL3" s="597"/>
      <c r="BM3" s="597"/>
      <c r="BN3" s="597"/>
      <c r="BO3" s="597"/>
      <c r="BP3" s="597"/>
      <c r="BQ3" s="597"/>
      <c r="BR3" s="597"/>
      <c r="BS3" s="597"/>
      <c r="BT3" s="597"/>
      <c r="BU3" s="597"/>
      <c r="BV3" s="597"/>
      <c r="BW3" s="597"/>
      <c r="BX3" s="597"/>
      <c r="BY3" s="597"/>
      <c r="BZ3" s="597"/>
      <c r="CA3" s="597"/>
      <c r="CB3" s="597"/>
      <c r="CC3" s="597"/>
      <c r="CD3" s="597"/>
      <c r="CE3" s="597"/>
      <c r="CF3" s="597"/>
      <c r="CG3" s="597"/>
      <c r="CH3" s="597"/>
      <c r="CI3" s="597"/>
      <c r="CJ3" s="597"/>
      <c r="CK3" s="597"/>
      <c r="CL3" s="597"/>
      <c r="CM3" s="597"/>
      <c r="CN3" s="597"/>
      <c r="CO3" s="597"/>
      <c r="CP3" s="597"/>
      <c r="CQ3" s="597"/>
      <c r="CR3" s="597"/>
      <c r="CS3" s="597"/>
      <c r="CT3" s="597"/>
      <c r="CU3" s="597"/>
      <c r="CV3" s="597"/>
      <c r="CW3" s="597"/>
      <c r="CX3" s="597"/>
      <c r="CY3" s="597"/>
      <c r="CZ3" s="597"/>
      <c r="DA3" s="597"/>
      <c r="DB3" s="597"/>
      <c r="DC3" s="597"/>
      <c r="DD3" s="597"/>
      <c r="DE3" s="597"/>
      <c r="DF3" s="597"/>
      <c r="DG3" s="597"/>
      <c r="DH3" s="597"/>
      <c r="DI3" s="597"/>
      <c r="DJ3" s="597"/>
      <c r="DK3" s="597"/>
      <c r="DL3" s="597"/>
      <c r="DM3" s="597"/>
      <c r="DN3" s="597"/>
      <c r="DO3" s="597"/>
      <c r="DP3" s="597"/>
      <c r="DQ3" s="597"/>
      <c r="DR3" s="597"/>
      <c r="DS3" s="597"/>
      <c r="DT3" s="597"/>
      <c r="DU3" s="597"/>
      <c r="DV3" s="597"/>
      <c r="DW3" s="597"/>
      <c r="DX3" s="597"/>
      <c r="DY3" s="597"/>
      <c r="DZ3" s="597"/>
      <c r="EA3" s="597"/>
      <c r="EB3" s="597"/>
      <c r="EC3" s="597"/>
      <c r="ED3" s="597"/>
      <c r="EE3" s="597"/>
      <c r="EF3" s="597"/>
      <c r="EG3" s="597"/>
      <c r="EH3" s="597"/>
      <c r="EI3" s="597"/>
      <c r="EJ3" s="597"/>
      <c r="EK3" s="597"/>
      <c r="EL3" s="597"/>
      <c r="EM3" s="597"/>
      <c r="EN3" s="597"/>
      <c r="EO3" s="597"/>
      <c r="EP3" s="597"/>
      <c r="EQ3" s="597"/>
      <c r="ER3" s="597"/>
      <c r="ES3" s="597"/>
      <c r="ET3" s="597"/>
      <c r="EU3" s="597"/>
      <c r="EV3" s="597"/>
    </row>
    <row r="4" spans="1:152" s="598" customFormat="1" ht="20.100000000000001" customHeight="1">
      <c r="A4" s="1898" t="s">
        <v>50</v>
      </c>
      <c r="B4" s="1899"/>
      <c r="C4" s="1899"/>
      <c r="D4" s="1899"/>
      <c r="E4" s="1899"/>
      <c r="F4" s="1899"/>
      <c r="G4" s="1900"/>
      <c r="H4" s="601"/>
      <c r="I4" s="601"/>
      <c r="J4" s="601"/>
      <c r="K4" s="601"/>
      <c r="L4" s="597"/>
      <c r="M4" s="597"/>
      <c r="N4" s="597"/>
      <c r="O4" s="597"/>
      <c r="P4" s="597"/>
      <c r="Q4" s="597"/>
      <c r="R4" s="1790"/>
      <c r="S4" s="597"/>
      <c r="T4" s="597"/>
      <c r="U4" s="597"/>
      <c r="V4" s="597"/>
      <c r="W4" s="597"/>
      <c r="X4" s="597"/>
      <c r="Y4" s="597"/>
      <c r="Z4" s="597"/>
      <c r="AA4" s="597"/>
      <c r="AB4" s="597"/>
      <c r="AC4" s="597"/>
      <c r="AD4" s="597"/>
      <c r="AE4" s="597"/>
      <c r="AF4" s="597"/>
      <c r="AG4" s="597"/>
      <c r="AH4" s="597"/>
      <c r="AI4" s="597"/>
      <c r="AJ4" s="597"/>
      <c r="AK4" s="597"/>
      <c r="AL4" s="597"/>
      <c r="AM4" s="597"/>
      <c r="AN4" s="597"/>
      <c r="AO4" s="597"/>
      <c r="AP4" s="597"/>
      <c r="AQ4" s="597"/>
      <c r="AR4" s="597"/>
      <c r="AS4" s="597"/>
      <c r="AT4" s="597"/>
      <c r="AU4" s="597"/>
      <c r="AV4" s="597"/>
      <c r="AW4" s="597"/>
      <c r="AX4" s="597"/>
      <c r="AY4" s="597"/>
      <c r="AZ4" s="597"/>
      <c r="BA4" s="597"/>
      <c r="BB4" s="597"/>
      <c r="BC4" s="597"/>
      <c r="BD4" s="597"/>
      <c r="BE4" s="597"/>
      <c r="BF4" s="597"/>
      <c r="BG4" s="597"/>
      <c r="BH4" s="597"/>
      <c r="BI4" s="597"/>
      <c r="BJ4" s="597"/>
      <c r="BK4" s="597"/>
      <c r="BL4" s="597"/>
      <c r="BM4" s="597"/>
      <c r="BN4" s="597"/>
      <c r="BO4" s="597"/>
      <c r="BP4" s="597"/>
      <c r="BQ4" s="597"/>
      <c r="BR4" s="597"/>
      <c r="BS4" s="597"/>
      <c r="BT4" s="597"/>
      <c r="BU4" s="597"/>
      <c r="BV4" s="597"/>
      <c r="BW4" s="597"/>
      <c r="BX4" s="597"/>
      <c r="BY4" s="597"/>
      <c r="BZ4" s="597"/>
      <c r="CA4" s="597"/>
      <c r="CB4" s="597"/>
      <c r="CC4" s="597"/>
      <c r="CD4" s="597"/>
      <c r="CE4" s="597"/>
      <c r="CF4" s="597"/>
      <c r="CG4" s="597"/>
      <c r="CH4" s="597"/>
      <c r="CI4" s="597"/>
      <c r="CJ4" s="597"/>
      <c r="CK4" s="597"/>
      <c r="CL4" s="597"/>
      <c r="CM4" s="597"/>
      <c r="CN4" s="597"/>
      <c r="CO4" s="597"/>
      <c r="CP4" s="597"/>
      <c r="CQ4" s="597"/>
      <c r="CR4" s="597"/>
      <c r="CS4" s="597"/>
      <c r="CT4" s="597"/>
      <c r="CU4" s="597"/>
      <c r="CV4" s="597"/>
      <c r="CW4" s="597"/>
      <c r="CX4" s="597"/>
      <c r="CY4" s="597"/>
      <c r="CZ4" s="597"/>
      <c r="DA4" s="597"/>
      <c r="DB4" s="597"/>
      <c r="DC4" s="597"/>
      <c r="DD4" s="597"/>
      <c r="DE4" s="597"/>
      <c r="DF4" s="597"/>
      <c r="DG4" s="597"/>
      <c r="DH4" s="597"/>
      <c r="DI4" s="597"/>
      <c r="DJ4" s="597"/>
      <c r="DK4" s="597"/>
      <c r="DL4" s="597"/>
      <c r="DM4" s="597"/>
      <c r="DN4" s="597"/>
      <c r="DO4" s="597"/>
      <c r="DP4" s="597"/>
      <c r="DQ4" s="597"/>
      <c r="DR4" s="597"/>
      <c r="DS4" s="597"/>
      <c r="DT4" s="597"/>
      <c r="DU4" s="597"/>
      <c r="DV4" s="597"/>
      <c r="DW4" s="597"/>
      <c r="DX4" s="597"/>
      <c r="DY4" s="597"/>
      <c r="DZ4" s="597"/>
      <c r="EA4" s="597"/>
      <c r="EB4" s="597"/>
      <c r="EC4" s="597"/>
      <c r="ED4" s="597"/>
      <c r="EE4" s="597"/>
      <c r="EF4" s="597"/>
      <c r="EG4" s="597"/>
      <c r="EH4" s="597"/>
      <c r="EI4" s="597"/>
      <c r="EJ4" s="597"/>
      <c r="EK4" s="597"/>
      <c r="EL4" s="597"/>
      <c r="EM4" s="597"/>
      <c r="EN4" s="597"/>
      <c r="EO4" s="597"/>
      <c r="EP4" s="597"/>
      <c r="EQ4" s="597"/>
      <c r="ER4" s="597"/>
      <c r="ES4" s="597"/>
      <c r="ET4" s="597"/>
      <c r="EU4" s="597"/>
      <c r="EV4" s="597"/>
    </row>
    <row r="5" spans="1:152" s="605" customFormat="1" ht="20.100000000000001" customHeight="1">
      <c r="A5" s="1901" t="s">
        <v>51</v>
      </c>
      <c r="B5" s="1903" t="s">
        <v>2314</v>
      </c>
      <c r="C5" s="1903"/>
      <c r="D5" s="1903" t="s">
        <v>1620</v>
      </c>
      <c r="E5" s="1903"/>
      <c r="F5" s="1903" t="s">
        <v>52</v>
      </c>
      <c r="G5" s="1904"/>
      <c r="H5" s="602"/>
      <c r="I5" s="602"/>
      <c r="J5" s="602"/>
      <c r="K5" s="602"/>
      <c r="L5" s="603"/>
      <c r="M5" s="604"/>
      <c r="N5" s="603"/>
      <c r="O5" s="603"/>
      <c r="P5" s="603"/>
      <c r="Q5" s="603"/>
      <c r="R5" s="603"/>
      <c r="S5" s="603"/>
      <c r="T5" s="603"/>
      <c r="U5" s="603"/>
      <c r="V5" s="603"/>
      <c r="W5" s="603"/>
      <c r="X5" s="603"/>
      <c r="Y5" s="603"/>
      <c r="Z5" s="603"/>
      <c r="AA5" s="603"/>
      <c r="AB5" s="603"/>
      <c r="AC5" s="603"/>
      <c r="AD5" s="603"/>
      <c r="AE5" s="603"/>
      <c r="AF5" s="603"/>
      <c r="AG5" s="603"/>
      <c r="AH5" s="603"/>
      <c r="AI5" s="603"/>
      <c r="AJ5" s="603"/>
      <c r="AK5" s="603"/>
      <c r="AL5" s="603"/>
      <c r="AM5" s="603"/>
      <c r="AN5" s="603"/>
      <c r="AO5" s="603"/>
      <c r="AP5" s="603"/>
      <c r="AQ5" s="603"/>
      <c r="AR5" s="603"/>
      <c r="AS5" s="603"/>
      <c r="AT5" s="603"/>
      <c r="AU5" s="603"/>
      <c r="AV5" s="603"/>
      <c r="AW5" s="603"/>
      <c r="AX5" s="603"/>
      <c r="AY5" s="603"/>
      <c r="AZ5" s="603"/>
      <c r="BA5" s="603"/>
      <c r="BB5" s="603"/>
      <c r="BC5" s="603"/>
      <c r="BD5" s="603"/>
      <c r="BE5" s="603"/>
      <c r="BF5" s="603"/>
      <c r="BG5" s="603"/>
      <c r="BH5" s="603"/>
      <c r="BI5" s="603"/>
      <c r="BJ5" s="603"/>
      <c r="BK5" s="603"/>
      <c r="BL5" s="603"/>
      <c r="BM5" s="603"/>
      <c r="BN5" s="603"/>
      <c r="BO5" s="603"/>
      <c r="BP5" s="603"/>
      <c r="BQ5" s="603"/>
      <c r="BR5" s="603"/>
      <c r="BS5" s="603"/>
      <c r="BT5" s="603"/>
      <c r="BU5" s="603"/>
      <c r="BV5" s="603"/>
      <c r="BW5" s="603"/>
      <c r="BX5" s="603"/>
      <c r="BY5" s="603"/>
      <c r="BZ5" s="603"/>
      <c r="CA5" s="603"/>
      <c r="CB5" s="603"/>
      <c r="CC5" s="603"/>
      <c r="CD5" s="603"/>
      <c r="CE5" s="603"/>
      <c r="CF5" s="603"/>
      <c r="CG5" s="603"/>
      <c r="CH5" s="603"/>
      <c r="CI5" s="603"/>
      <c r="CJ5" s="603"/>
      <c r="CK5" s="603"/>
      <c r="CL5" s="603"/>
      <c r="CM5" s="603"/>
      <c r="CN5" s="603"/>
      <c r="CO5" s="603"/>
      <c r="CP5" s="603"/>
      <c r="CQ5" s="603"/>
      <c r="CR5" s="603"/>
      <c r="CS5" s="603"/>
      <c r="CT5" s="603"/>
      <c r="CU5" s="603"/>
      <c r="CV5" s="603"/>
      <c r="CW5" s="603"/>
      <c r="CX5" s="603"/>
      <c r="CY5" s="603"/>
      <c r="CZ5" s="603"/>
      <c r="DA5" s="603"/>
      <c r="DB5" s="603"/>
      <c r="DC5" s="603"/>
      <c r="DD5" s="603"/>
      <c r="DE5" s="603"/>
      <c r="DF5" s="603"/>
      <c r="DG5" s="603"/>
      <c r="DH5" s="603"/>
      <c r="DI5" s="603"/>
      <c r="DJ5" s="603"/>
      <c r="DK5" s="603"/>
      <c r="DL5" s="603"/>
      <c r="DM5" s="603"/>
      <c r="DN5" s="603"/>
      <c r="DO5" s="603"/>
      <c r="DP5" s="603"/>
      <c r="DQ5" s="603"/>
      <c r="DR5" s="603"/>
      <c r="DS5" s="603"/>
      <c r="DT5" s="603"/>
      <c r="DU5" s="603"/>
      <c r="DV5" s="603"/>
      <c r="DW5" s="603"/>
      <c r="DX5" s="603"/>
      <c r="DY5" s="603"/>
      <c r="DZ5" s="603"/>
      <c r="EA5" s="603"/>
      <c r="EB5" s="603"/>
      <c r="EC5" s="603"/>
      <c r="ED5" s="603"/>
      <c r="EE5" s="603"/>
      <c r="EF5" s="603"/>
      <c r="EG5" s="603"/>
      <c r="EH5" s="603"/>
      <c r="EI5" s="603"/>
      <c r="EJ5" s="603"/>
      <c r="EK5" s="603"/>
      <c r="EL5" s="603"/>
      <c r="EM5" s="603"/>
      <c r="EN5" s="603"/>
      <c r="EO5" s="603"/>
      <c r="EP5" s="603"/>
      <c r="EQ5" s="603"/>
      <c r="ER5" s="603"/>
      <c r="ES5" s="603"/>
      <c r="ET5" s="603"/>
      <c r="EU5" s="603"/>
      <c r="EV5" s="603"/>
    </row>
    <row r="6" spans="1:152" s="605" customFormat="1" ht="20.100000000000001" customHeight="1">
      <c r="A6" s="1902"/>
      <c r="B6" s="606" t="s">
        <v>53</v>
      </c>
      <c r="C6" s="606" t="s">
        <v>54</v>
      </c>
      <c r="D6" s="606" t="s">
        <v>53</v>
      </c>
      <c r="E6" s="606" t="s">
        <v>54</v>
      </c>
      <c r="F6" s="607" t="s">
        <v>55</v>
      </c>
      <c r="G6" s="608" t="s">
        <v>56</v>
      </c>
      <c r="H6" s="602"/>
      <c r="I6" s="602"/>
      <c r="J6" s="602"/>
      <c r="K6" s="602"/>
      <c r="L6" s="604"/>
      <c r="M6" s="603"/>
      <c r="N6" s="603"/>
      <c r="O6" s="603"/>
      <c r="P6" s="603"/>
      <c r="Q6" s="603"/>
      <c r="R6" s="603"/>
      <c r="S6" s="603"/>
      <c r="T6" s="603"/>
      <c r="U6" s="603"/>
      <c r="V6" s="603"/>
      <c r="W6" s="603"/>
      <c r="X6" s="603"/>
      <c r="Y6" s="603"/>
      <c r="Z6" s="603"/>
      <c r="AA6" s="603"/>
      <c r="AB6" s="603"/>
      <c r="AC6" s="603"/>
      <c r="AD6" s="603"/>
      <c r="AE6" s="603"/>
      <c r="AF6" s="603"/>
      <c r="AG6" s="603"/>
      <c r="AH6" s="603"/>
      <c r="AI6" s="603"/>
      <c r="AJ6" s="603"/>
      <c r="AK6" s="603"/>
      <c r="AL6" s="603"/>
      <c r="AM6" s="603"/>
      <c r="AN6" s="603"/>
      <c r="AO6" s="603"/>
      <c r="AP6" s="603"/>
      <c r="AQ6" s="603"/>
      <c r="AR6" s="603"/>
      <c r="AS6" s="603"/>
      <c r="AT6" s="603"/>
      <c r="AU6" s="603"/>
      <c r="AV6" s="603"/>
      <c r="AW6" s="603"/>
      <c r="AX6" s="603"/>
      <c r="AY6" s="603"/>
      <c r="AZ6" s="603"/>
      <c r="BA6" s="603"/>
      <c r="BB6" s="603"/>
      <c r="BC6" s="603"/>
      <c r="BD6" s="603"/>
      <c r="BE6" s="603"/>
      <c r="BF6" s="603"/>
      <c r="BG6" s="603"/>
      <c r="BH6" s="603"/>
      <c r="BI6" s="603"/>
      <c r="BJ6" s="603"/>
      <c r="BK6" s="603"/>
      <c r="BL6" s="603"/>
      <c r="BM6" s="603"/>
      <c r="BN6" s="603"/>
      <c r="BO6" s="603"/>
      <c r="BP6" s="603"/>
      <c r="BQ6" s="603"/>
      <c r="BR6" s="603"/>
      <c r="BS6" s="603"/>
      <c r="BT6" s="603"/>
      <c r="BU6" s="603"/>
      <c r="BV6" s="603"/>
      <c r="BW6" s="603"/>
      <c r="BX6" s="603"/>
      <c r="BY6" s="603"/>
      <c r="BZ6" s="603"/>
      <c r="CA6" s="603"/>
      <c r="CB6" s="603"/>
      <c r="CC6" s="603"/>
      <c r="CD6" s="603"/>
      <c r="CE6" s="603"/>
      <c r="CF6" s="603"/>
      <c r="CG6" s="603"/>
      <c r="CH6" s="603"/>
      <c r="CI6" s="603"/>
      <c r="CJ6" s="603"/>
      <c r="CK6" s="603"/>
      <c r="CL6" s="603"/>
      <c r="CM6" s="603"/>
      <c r="CN6" s="603"/>
      <c r="CO6" s="603"/>
      <c r="CP6" s="603"/>
      <c r="CQ6" s="603"/>
      <c r="CR6" s="603"/>
      <c r="CS6" s="603"/>
      <c r="CT6" s="603"/>
      <c r="CU6" s="603"/>
      <c r="CV6" s="603"/>
      <c r="CW6" s="603"/>
      <c r="CX6" s="603"/>
      <c r="CY6" s="603"/>
      <c r="CZ6" s="603"/>
      <c r="DA6" s="603"/>
      <c r="DB6" s="603"/>
      <c r="DC6" s="603"/>
      <c r="DD6" s="603"/>
      <c r="DE6" s="603"/>
      <c r="DF6" s="603"/>
      <c r="DG6" s="603"/>
      <c r="DH6" s="603"/>
      <c r="DI6" s="603"/>
      <c r="DJ6" s="603"/>
      <c r="DK6" s="603"/>
      <c r="DL6" s="603"/>
      <c r="DM6" s="603"/>
      <c r="DN6" s="603"/>
      <c r="DO6" s="603"/>
      <c r="DP6" s="603"/>
      <c r="DQ6" s="603"/>
      <c r="DR6" s="603"/>
      <c r="DS6" s="603"/>
      <c r="DT6" s="603"/>
      <c r="DU6" s="603"/>
      <c r="DV6" s="603"/>
      <c r="DW6" s="603"/>
      <c r="DX6" s="603"/>
      <c r="DY6" s="603"/>
      <c r="DZ6" s="603"/>
      <c r="EA6" s="603"/>
      <c r="EB6" s="603"/>
      <c r="EC6" s="603"/>
      <c r="ED6" s="603"/>
      <c r="EE6" s="603"/>
      <c r="EF6" s="603"/>
      <c r="EG6" s="603"/>
      <c r="EH6" s="603"/>
      <c r="EI6" s="603"/>
      <c r="EJ6" s="603"/>
      <c r="EK6" s="603"/>
      <c r="EL6" s="603"/>
      <c r="EM6" s="603"/>
      <c r="EN6" s="603"/>
      <c r="EO6" s="603"/>
      <c r="EP6" s="603"/>
      <c r="EQ6" s="603"/>
      <c r="ER6" s="603"/>
      <c r="ES6" s="603"/>
      <c r="ET6" s="603"/>
      <c r="EU6" s="603"/>
      <c r="EV6" s="603"/>
    </row>
    <row r="7" spans="1:152" s="605" customFormat="1" ht="20.100000000000001" customHeight="1">
      <c r="A7" s="609" t="s">
        <v>57</v>
      </c>
      <c r="B7" s="610">
        <f>SUM(B8,B58)</f>
        <v>8717874000</v>
      </c>
      <c r="C7" s="611">
        <f>+C8+C58</f>
        <v>1</v>
      </c>
      <c r="D7" s="610">
        <f>SUM(D8,D58)</f>
        <v>5825281000</v>
      </c>
      <c r="E7" s="611">
        <f>+E8+E58</f>
        <v>1</v>
      </c>
      <c r="F7" s="610">
        <f>SUM(F8,F58)</f>
        <v>2892593000</v>
      </c>
      <c r="G7" s="612">
        <f>+F7/D7</f>
        <v>0.49655853511616005</v>
      </c>
      <c r="H7" s="602"/>
      <c r="I7" s="602"/>
      <c r="J7" s="602"/>
      <c r="K7" s="602"/>
      <c r="L7" s="603"/>
      <c r="M7" s="603"/>
      <c r="N7" s="603"/>
      <c r="O7" s="603"/>
      <c r="P7" s="603"/>
      <c r="Q7" s="603"/>
      <c r="R7" s="603"/>
      <c r="S7" s="603"/>
      <c r="T7" s="603"/>
      <c r="U7" s="603"/>
      <c r="V7" s="603"/>
      <c r="W7" s="603"/>
      <c r="X7" s="603"/>
      <c r="Y7" s="603"/>
      <c r="Z7" s="603"/>
      <c r="AA7" s="603"/>
      <c r="AB7" s="603"/>
      <c r="AC7" s="603"/>
      <c r="AD7" s="603"/>
      <c r="AE7" s="603"/>
      <c r="AF7" s="603"/>
      <c r="AG7" s="603"/>
      <c r="AH7" s="603"/>
      <c r="AI7" s="603"/>
      <c r="AJ7" s="603"/>
      <c r="AK7" s="603"/>
      <c r="AL7" s="603"/>
      <c r="AM7" s="603"/>
      <c r="AN7" s="603"/>
      <c r="AO7" s="603"/>
      <c r="AP7" s="603"/>
      <c r="AQ7" s="603"/>
      <c r="AR7" s="603"/>
      <c r="AS7" s="603"/>
      <c r="AT7" s="603"/>
      <c r="AU7" s="603"/>
      <c r="AV7" s="603"/>
      <c r="AW7" s="603"/>
      <c r="AX7" s="603"/>
      <c r="AY7" s="603"/>
      <c r="AZ7" s="603"/>
      <c r="BA7" s="603"/>
      <c r="BB7" s="603"/>
      <c r="BC7" s="603"/>
      <c r="BD7" s="603"/>
      <c r="BE7" s="603"/>
      <c r="BF7" s="603"/>
      <c r="BG7" s="603"/>
      <c r="BH7" s="603"/>
      <c r="BI7" s="603"/>
      <c r="BJ7" s="603"/>
      <c r="BK7" s="603"/>
      <c r="BL7" s="603"/>
      <c r="BM7" s="603"/>
      <c r="BN7" s="603"/>
      <c r="BO7" s="603"/>
      <c r="BP7" s="603"/>
      <c r="BQ7" s="603"/>
      <c r="BR7" s="603"/>
      <c r="BS7" s="603"/>
      <c r="BT7" s="603"/>
      <c r="BU7" s="603"/>
      <c r="BV7" s="603"/>
      <c r="BW7" s="603"/>
      <c r="BX7" s="603"/>
      <c r="BY7" s="603"/>
      <c r="BZ7" s="603"/>
      <c r="CA7" s="603"/>
      <c r="CB7" s="603"/>
      <c r="CC7" s="603"/>
      <c r="CD7" s="603"/>
      <c r="CE7" s="603"/>
      <c r="CF7" s="603"/>
      <c r="CG7" s="603"/>
      <c r="CH7" s="603"/>
      <c r="CI7" s="603"/>
      <c r="CJ7" s="603"/>
      <c r="CK7" s="603"/>
      <c r="CL7" s="603"/>
      <c r="CM7" s="603"/>
      <c r="CN7" s="603"/>
      <c r="CO7" s="603"/>
      <c r="CP7" s="603"/>
      <c r="CQ7" s="603"/>
      <c r="CR7" s="603"/>
      <c r="CS7" s="603"/>
      <c r="CT7" s="603"/>
      <c r="CU7" s="603"/>
      <c r="CV7" s="603"/>
      <c r="CW7" s="603"/>
      <c r="CX7" s="603"/>
      <c r="CY7" s="603"/>
      <c r="CZ7" s="603"/>
      <c r="DA7" s="603"/>
      <c r="DB7" s="603"/>
      <c r="DC7" s="603"/>
      <c r="DD7" s="603"/>
      <c r="DE7" s="603"/>
      <c r="DF7" s="603"/>
      <c r="DG7" s="603"/>
      <c r="DH7" s="603"/>
      <c r="DI7" s="603"/>
      <c r="DJ7" s="603"/>
      <c r="DK7" s="603"/>
      <c r="DL7" s="603"/>
      <c r="DM7" s="603"/>
      <c r="DN7" s="603"/>
      <c r="DO7" s="603"/>
      <c r="DP7" s="603"/>
      <c r="DQ7" s="603"/>
      <c r="DR7" s="603"/>
      <c r="DS7" s="603"/>
      <c r="DT7" s="603"/>
      <c r="DU7" s="603"/>
      <c r="DV7" s="603"/>
      <c r="DW7" s="603"/>
      <c r="DX7" s="603"/>
      <c r="DY7" s="603"/>
      <c r="DZ7" s="603"/>
      <c r="EA7" s="603"/>
      <c r="EB7" s="603"/>
      <c r="EC7" s="603"/>
      <c r="ED7" s="603"/>
      <c r="EE7" s="603"/>
      <c r="EF7" s="603"/>
      <c r="EG7" s="603"/>
      <c r="EH7" s="603"/>
      <c r="EI7" s="603"/>
      <c r="EJ7" s="603"/>
      <c r="EK7" s="603"/>
      <c r="EL7" s="603"/>
      <c r="EM7" s="603"/>
      <c r="EN7" s="603"/>
      <c r="EO7" s="603"/>
      <c r="EP7" s="603"/>
      <c r="EQ7" s="603"/>
      <c r="ER7" s="603"/>
      <c r="ES7" s="603"/>
      <c r="ET7" s="603"/>
      <c r="EU7" s="603"/>
      <c r="EV7" s="603"/>
    </row>
    <row r="8" spans="1:152" s="605" customFormat="1" ht="20.100000000000001" customHeight="1">
      <c r="A8" s="613" t="s">
        <v>64</v>
      </c>
      <c r="B8" s="614">
        <f>SUM(B9,B22,B35,B55,B47,B53)</f>
        <v>6299764000</v>
      </c>
      <c r="C8" s="615">
        <f>+B8/B7</f>
        <v>0.72262618156674441</v>
      </c>
      <c r="D8" s="614">
        <f>SUM(D9,D22,D35,D55,D47,D53)</f>
        <v>4404978000</v>
      </c>
      <c r="E8" s="615">
        <f>+D8/D7</f>
        <v>0.75618292061790671</v>
      </c>
      <c r="F8" s="614">
        <f>SUM(F9,F22,F35,F55,F47,F53)</f>
        <v>1894786000</v>
      </c>
      <c r="G8" s="616">
        <f>+F8/D8</f>
        <v>0.43014652967619815</v>
      </c>
      <c r="H8" s="602"/>
      <c r="I8" s="602"/>
      <c r="J8" s="602"/>
      <c r="K8" s="602"/>
      <c r="L8" s="603"/>
      <c r="M8" s="603"/>
      <c r="N8" s="603"/>
      <c r="O8" s="603"/>
      <c r="P8" s="603"/>
      <c r="Q8" s="603"/>
      <c r="R8" s="603"/>
      <c r="S8" s="603"/>
      <c r="T8" s="603"/>
      <c r="U8" s="603"/>
      <c r="V8" s="603"/>
      <c r="W8" s="603"/>
      <c r="X8" s="603"/>
      <c r="Y8" s="603"/>
      <c r="Z8" s="603"/>
      <c r="AA8" s="603"/>
      <c r="AB8" s="603"/>
      <c r="AC8" s="603"/>
      <c r="AD8" s="603"/>
      <c r="AE8" s="603"/>
      <c r="AF8" s="603"/>
      <c r="AG8" s="603"/>
      <c r="AH8" s="603"/>
      <c r="AI8" s="603"/>
      <c r="AJ8" s="603"/>
      <c r="AK8" s="603"/>
      <c r="AL8" s="603"/>
      <c r="AM8" s="603"/>
      <c r="AN8" s="603"/>
      <c r="AO8" s="603"/>
      <c r="AP8" s="603"/>
      <c r="AQ8" s="603"/>
      <c r="AR8" s="603"/>
      <c r="AS8" s="603"/>
      <c r="AT8" s="603"/>
      <c r="AU8" s="603"/>
      <c r="AV8" s="603"/>
      <c r="AW8" s="603"/>
      <c r="AX8" s="603"/>
      <c r="AY8" s="603"/>
      <c r="AZ8" s="603"/>
      <c r="BA8" s="603"/>
      <c r="BB8" s="603"/>
      <c r="BC8" s="603"/>
      <c r="BD8" s="603"/>
      <c r="BE8" s="603"/>
      <c r="BF8" s="603"/>
      <c r="BG8" s="603"/>
      <c r="BH8" s="603"/>
      <c r="BI8" s="603"/>
      <c r="BJ8" s="603"/>
      <c r="BK8" s="603"/>
      <c r="BL8" s="603"/>
      <c r="BM8" s="603"/>
      <c r="BN8" s="603"/>
      <c r="BO8" s="603"/>
      <c r="BP8" s="603"/>
      <c r="BQ8" s="603"/>
      <c r="BR8" s="603"/>
      <c r="BS8" s="603"/>
      <c r="BT8" s="603"/>
      <c r="BU8" s="603"/>
      <c r="BV8" s="603"/>
      <c r="BW8" s="603"/>
      <c r="BX8" s="603"/>
      <c r="BY8" s="603"/>
      <c r="BZ8" s="603"/>
      <c r="CA8" s="603"/>
      <c r="CB8" s="603"/>
      <c r="CC8" s="603"/>
      <c r="CD8" s="603"/>
      <c r="CE8" s="603"/>
      <c r="CF8" s="603"/>
      <c r="CG8" s="603"/>
      <c r="CH8" s="603"/>
      <c r="CI8" s="603"/>
      <c r="CJ8" s="603"/>
      <c r="CK8" s="603"/>
      <c r="CL8" s="603"/>
      <c r="CM8" s="603"/>
      <c r="CN8" s="603"/>
      <c r="CO8" s="603"/>
      <c r="CP8" s="603"/>
      <c r="CQ8" s="603"/>
      <c r="CR8" s="603"/>
      <c r="CS8" s="603"/>
      <c r="CT8" s="603"/>
      <c r="CU8" s="603"/>
      <c r="CV8" s="603"/>
      <c r="CW8" s="603"/>
      <c r="CX8" s="603"/>
      <c r="CY8" s="603"/>
      <c r="CZ8" s="603"/>
      <c r="DA8" s="603"/>
      <c r="DB8" s="603"/>
      <c r="DC8" s="603"/>
      <c r="DD8" s="603"/>
      <c r="DE8" s="603"/>
      <c r="DF8" s="603"/>
      <c r="DG8" s="603"/>
      <c r="DH8" s="603"/>
      <c r="DI8" s="603"/>
      <c r="DJ8" s="603"/>
      <c r="DK8" s="603"/>
      <c r="DL8" s="603"/>
      <c r="DM8" s="603"/>
      <c r="DN8" s="603"/>
      <c r="DO8" s="603"/>
      <c r="DP8" s="603"/>
      <c r="DQ8" s="603"/>
      <c r="DR8" s="603"/>
      <c r="DS8" s="603"/>
      <c r="DT8" s="603"/>
      <c r="DU8" s="603"/>
      <c r="DV8" s="603"/>
      <c r="DW8" s="603"/>
      <c r="DX8" s="603"/>
      <c r="DY8" s="603"/>
      <c r="DZ8" s="603"/>
      <c r="EA8" s="603"/>
      <c r="EB8" s="603"/>
      <c r="EC8" s="603"/>
      <c r="ED8" s="603"/>
      <c r="EE8" s="603"/>
      <c r="EF8" s="603"/>
      <c r="EG8" s="603"/>
      <c r="EH8" s="603"/>
      <c r="EI8" s="603"/>
      <c r="EJ8" s="603"/>
      <c r="EK8" s="603"/>
      <c r="EL8" s="603"/>
      <c r="EM8" s="603"/>
      <c r="EN8" s="603"/>
      <c r="EO8" s="603"/>
      <c r="EP8" s="603"/>
      <c r="EQ8" s="603"/>
      <c r="ER8" s="603"/>
      <c r="ES8" s="603"/>
      <c r="ET8" s="603"/>
      <c r="EU8" s="603"/>
      <c r="EV8" s="603"/>
    </row>
    <row r="9" spans="1:152" s="623" customFormat="1" ht="20.100000000000001" customHeight="1">
      <c r="A9" s="617" t="s">
        <v>58</v>
      </c>
      <c r="B9" s="618">
        <f>SUM(B10:B21)</f>
        <v>3051022000</v>
      </c>
      <c r="C9" s="619">
        <f>+B9/$B$7</f>
        <v>0.34997317006416934</v>
      </c>
      <c r="D9" s="618">
        <f>SUM(D10:D21)</f>
        <v>2297396000</v>
      </c>
      <c r="E9" s="619">
        <f>+D9/$D$7</f>
        <v>0.39438372157497636</v>
      </c>
      <c r="F9" s="618">
        <f>SUM(F10:F21)</f>
        <v>753626000</v>
      </c>
      <c r="G9" s="620">
        <f>+F9/D9</f>
        <v>0.32803487078413995</v>
      </c>
      <c r="H9" s="602"/>
      <c r="I9" s="602"/>
      <c r="J9" s="602"/>
      <c r="K9" s="602"/>
      <c r="L9" s="621"/>
      <c r="M9" s="621">
        <v>2018</v>
      </c>
      <c r="N9" s="621">
        <v>2017</v>
      </c>
      <c r="O9" s="603"/>
      <c r="P9" s="603" t="s">
        <v>2142</v>
      </c>
      <c r="Q9" s="603"/>
      <c r="R9" s="603" t="s">
        <v>2145</v>
      </c>
      <c r="S9" s="621"/>
      <c r="T9" s="622"/>
      <c r="U9" s="622">
        <v>2018</v>
      </c>
      <c r="V9" s="622">
        <v>2017</v>
      </c>
      <c r="W9" s="621"/>
      <c r="X9" s="621"/>
      <c r="Y9" s="621"/>
      <c r="Z9" s="621"/>
      <c r="AA9" s="621"/>
      <c r="AB9" s="621"/>
      <c r="AC9" s="621"/>
      <c r="AD9" s="621"/>
      <c r="AE9" s="621"/>
      <c r="AF9" s="621"/>
      <c r="AG9" s="621"/>
      <c r="AH9" s="621"/>
      <c r="AI9" s="621"/>
      <c r="AJ9" s="621"/>
      <c r="AK9" s="621"/>
      <c r="AL9" s="621"/>
      <c r="AM9" s="621"/>
      <c r="AN9" s="621"/>
      <c r="AO9" s="621"/>
      <c r="AP9" s="621"/>
      <c r="AQ9" s="621"/>
      <c r="AR9" s="621"/>
      <c r="AS9" s="621"/>
      <c r="AT9" s="621"/>
      <c r="AU9" s="621"/>
      <c r="AV9" s="621"/>
      <c r="AW9" s="621"/>
      <c r="AX9" s="621"/>
      <c r="AY9" s="621"/>
      <c r="AZ9" s="621"/>
      <c r="BA9" s="621"/>
      <c r="BB9" s="621"/>
      <c r="BC9" s="621"/>
      <c r="BD9" s="621"/>
      <c r="BE9" s="621"/>
      <c r="BF9" s="621"/>
      <c r="BG9" s="621"/>
      <c r="BH9" s="621"/>
      <c r="BI9" s="621"/>
      <c r="BJ9" s="621"/>
      <c r="BK9" s="621"/>
      <c r="BL9" s="621"/>
      <c r="BM9" s="621"/>
      <c r="BN9" s="621"/>
      <c r="BO9" s="621"/>
      <c r="BP9" s="621"/>
      <c r="BQ9" s="621"/>
      <c r="BR9" s="621"/>
      <c r="BS9" s="621"/>
      <c r="BT9" s="621"/>
      <c r="BU9" s="621"/>
      <c r="BV9" s="621"/>
      <c r="BW9" s="621"/>
      <c r="BX9" s="621"/>
      <c r="BY9" s="621"/>
      <c r="BZ9" s="621"/>
      <c r="CA9" s="621"/>
      <c r="CB9" s="621"/>
      <c r="CC9" s="621"/>
      <c r="CD9" s="621"/>
      <c r="CE9" s="621"/>
      <c r="CF9" s="621"/>
      <c r="CG9" s="621"/>
      <c r="CH9" s="621"/>
      <c r="CI9" s="621"/>
      <c r="CJ9" s="621"/>
      <c r="CK9" s="621"/>
      <c r="CL9" s="621"/>
      <c r="CM9" s="621"/>
      <c r="CN9" s="621"/>
      <c r="CO9" s="621"/>
      <c r="CP9" s="621"/>
      <c r="CQ9" s="621"/>
      <c r="CR9" s="621"/>
      <c r="CS9" s="621"/>
      <c r="CT9" s="621"/>
      <c r="CU9" s="621"/>
      <c r="CV9" s="621"/>
      <c r="CW9" s="621"/>
      <c r="CX9" s="621"/>
      <c r="CY9" s="621"/>
      <c r="CZ9" s="621"/>
      <c r="DA9" s="621"/>
      <c r="DB9" s="621"/>
      <c r="DC9" s="621"/>
      <c r="DD9" s="621"/>
      <c r="DE9" s="621"/>
      <c r="DF9" s="621"/>
      <c r="DG9" s="621"/>
      <c r="DH9" s="621"/>
      <c r="DI9" s="621"/>
      <c r="DJ9" s="621"/>
      <c r="DK9" s="621"/>
      <c r="DL9" s="621"/>
      <c r="DM9" s="621"/>
      <c r="DN9" s="621"/>
      <c r="DO9" s="621"/>
      <c r="DP9" s="621"/>
      <c r="DQ9" s="621"/>
      <c r="DR9" s="621"/>
      <c r="DS9" s="621"/>
      <c r="DT9" s="621"/>
      <c r="DU9" s="621"/>
      <c r="DV9" s="621"/>
      <c r="DW9" s="621"/>
      <c r="DX9" s="621"/>
      <c r="DY9" s="621"/>
      <c r="DZ9" s="621"/>
      <c r="EA9" s="621"/>
      <c r="EB9" s="621"/>
      <c r="EC9" s="621"/>
      <c r="ED9" s="621"/>
      <c r="EE9" s="621"/>
      <c r="EF9" s="621"/>
      <c r="EG9" s="621"/>
      <c r="EH9" s="621"/>
      <c r="EI9" s="621"/>
      <c r="EJ9" s="621"/>
      <c r="EK9" s="621"/>
      <c r="EL9" s="621"/>
      <c r="EM9" s="621"/>
      <c r="EN9" s="621"/>
      <c r="EO9" s="621"/>
      <c r="EP9" s="621"/>
      <c r="EQ9" s="621"/>
      <c r="ER9" s="621"/>
      <c r="ES9" s="621"/>
      <c r="ET9" s="621"/>
      <c r="EU9" s="621"/>
      <c r="EV9" s="621"/>
    </row>
    <row r="10" spans="1:152" s="605" customFormat="1" ht="20.100000000000001" customHeight="1">
      <c r="A10" s="624" t="s">
        <v>21</v>
      </c>
      <c r="B10" s="625">
        <f>'예산세출(사무국)'!Q8</f>
        <v>545114000</v>
      </c>
      <c r="C10" s="626">
        <f>+B10/$B$7</f>
        <v>6.2528318257410009E-2</v>
      </c>
      <c r="D10" s="625">
        <f>'예산세출(사무국)'!R8</f>
        <v>456347000</v>
      </c>
      <c r="E10" s="626">
        <f>+D10/$D$7</f>
        <v>7.8339053515186649E-2</v>
      </c>
      <c r="F10" s="627">
        <f>+B10-D10</f>
        <v>88767000</v>
      </c>
      <c r="G10" s="628">
        <f>+F10/D10</f>
        <v>0.1945164534882447</v>
      </c>
      <c r="H10" s="602"/>
      <c r="I10" s="602"/>
      <c r="J10" s="602"/>
      <c r="K10" s="602"/>
      <c r="L10" s="629" t="s">
        <v>1623</v>
      </c>
      <c r="M10" s="630">
        <f>SUMIFS($B$10:$B$100,$A$10:$A$100,"사무국")</f>
        <v>1900720000</v>
      </c>
      <c r="N10" s="631">
        <f>SUMIF($A$10:$A$100,"사무국",$D$10:$D$100)</f>
        <v>1687053000</v>
      </c>
      <c r="O10" s="632" t="s">
        <v>2143</v>
      </c>
      <c r="P10" s="633">
        <v>50004000</v>
      </c>
      <c r="Q10" s="603" t="s">
        <v>2144</v>
      </c>
      <c r="R10" s="604">
        <f>N10+P10</f>
        <v>1737057000</v>
      </c>
      <c r="S10" s="603"/>
      <c r="T10" s="634" t="s">
        <v>1623</v>
      </c>
      <c r="U10" s="634">
        <v>1900720000</v>
      </c>
      <c r="V10" s="634">
        <v>1687053000</v>
      </c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603"/>
      <c r="AJ10" s="603"/>
      <c r="AK10" s="603"/>
      <c r="AL10" s="603"/>
      <c r="AM10" s="603"/>
      <c r="AN10" s="603"/>
      <c r="AO10" s="603"/>
      <c r="AP10" s="603"/>
      <c r="AQ10" s="603"/>
      <c r="AR10" s="603"/>
      <c r="AS10" s="603"/>
      <c r="AT10" s="603"/>
      <c r="AU10" s="603"/>
      <c r="AV10" s="603"/>
      <c r="AW10" s="603"/>
      <c r="AX10" s="603"/>
      <c r="AY10" s="603"/>
      <c r="AZ10" s="603"/>
      <c r="BA10" s="603"/>
      <c r="BB10" s="603"/>
      <c r="BC10" s="603"/>
      <c r="BD10" s="603"/>
      <c r="BE10" s="603"/>
      <c r="BF10" s="603"/>
      <c r="BG10" s="603"/>
      <c r="BH10" s="603"/>
      <c r="BI10" s="603"/>
      <c r="BJ10" s="603"/>
      <c r="BK10" s="603"/>
      <c r="BL10" s="603"/>
      <c r="BM10" s="603"/>
      <c r="BN10" s="603"/>
      <c r="BO10" s="603"/>
      <c r="BP10" s="603"/>
      <c r="BQ10" s="603"/>
      <c r="BR10" s="603"/>
      <c r="BS10" s="603"/>
      <c r="BT10" s="603"/>
      <c r="BU10" s="603"/>
      <c r="BV10" s="603"/>
      <c r="BW10" s="603"/>
      <c r="BX10" s="603"/>
      <c r="BY10" s="603"/>
      <c r="BZ10" s="603"/>
      <c r="CA10" s="603"/>
      <c r="CB10" s="603"/>
      <c r="CC10" s="603"/>
      <c r="CD10" s="603"/>
      <c r="CE10" s="603"/>
      <c r="CF10" s="603"/>
      <c r="CG10" s="603"/>
      <c r="CH10" s="603"/>
      <c r="CI10" s="603"/>
      <c r="CJ10" s="603"/>
      <c r="CK10" s="603"/>
      <c r="CL10" s="603"/>
      <c r="CM10" s="603"/>
      <c r="CN10" s="603"/>
      <c r="CO10" s="603"/>
      <c r="CP10" s="603"/>
      <c r="CQ10" s="603"/>
      <c r="CR10" s="603"/>
      <c r="CS10" s="603"/>
      <c r="CT10" s="603"/>
      <c r="CU10" s="603"/>
      <c r="CV10" s="603"/>
      <c r="CW10" s="603"/>
      <c r="CX10" s="603"/>
      <c r="CY10" s="603"/>
      <c r="CZ10" s="603"/>
      <c r="DA10" s="603"/>
      <c r="DB10" s="603"/>
      <c r="DC10" s="603"/>
      <c r="DD10" s="603"/>
      <c r="DE10" s="603"/>
      <c r="DF10" s="603"/>
      <c r="DG10" s="603"/>
      <c r="DH10" s="603"/>
      <c r="DI10" s="603"/>
      <c r="DJ10" s="603"/>
      <c r="DK10" s="603"/>
      <c r="DL10" s="603"/>
      <c r="DM10" s="603"/>
      <c r="DN10" s="603"/>
      <c r="DO10" s="603"/>
      <c r="DP10" s="603"/>
      <c r="DQ10" s="603"/>
      <c r="DR10" s="603"/>
      <c r="DS10" s="603"/>
      <c r="DT10" s="603"/>
      <c r="DU10" s="603"/>
      <c r="DV10" s="603"/>
      <c r="DW10" s="603"/>
      <c r="DX10" s="603"/>
      <c r="DY10" s="603"/>
      <c r="DZ10" s="603"/>
      <c r="EA10" s="603"/>
      <c r="EB10" s="603"/>
      <c r="EC10" s="603"/>
      <c r="ED10" s="603"/>
      <c r="EE10" s="603"/>
      <c r="EF10" s="603"/>
      <c r="EG10" s="603"/>
      <c r="EH10" s="603"/>
      <c r="EI10" s="603"/>
      <c r="EJ10" s="603"/>
      <c r="EK10" s="603"/>
      <c r="EL10" s="603"/>
      <c r="EM10" s="603"/>
      <c r="EN10" s="603"/>
      <c r="EO10" s="603"/>
      <c r="EP10" s="603"/>
      <c r="EQ10" s="603"/>
      <c r="ER10" s="603"/>
      <c r="ES10" s="603"/>
      <c r="ET10" s="603"/>
      <c r="EU10" s="603"/>
      <c r="EV10" s="603"/>
    </row>
    <row r="11" spans="1:152" s="605" customFormat="1" ht="20.100000000000001" customHeight="1">
      <c r="A11" s="635" t="s">
        <v>22</v>
      </c>
      <c r="B11" s="627">
        <f>'예산세출(마두)'!Q8</f>
        <v>518616000</v>
      </c>
      <c r="C11" s="636">
        <f>+B11/$B$7</f>
        <v>5.9488815736497225E-2</v>
      </c>
      <c r="D11" s="627">
        <f>'예산세출(마두)'!R8</f>
        <v>501971000</v>
      </c>
      <c r="E11" s="626">
        <f t="shared" ref="E11:E21" si="0">+D11/$D$7</f>
        <v>8.6171122045442958E-2</v>
      </c>
      <c r="F11" s="627">
        <f t="shared" ref="F11:F21" si="1">+B11-D11</f>
        <v>16645000</v>
      </c>
      <c r="G11" s="637">
        <f t="shared" ref="G11:G57" si="2">+F11/D11</f>
        <v>3.3159286094216596E-2</v>
      </c>
      <c r="H11" s="602"/>
      <c r="I11" s="602"/>
      <c r="J11" s="602"/>
      <c r="K11" s="602"/>
      <c r="L11" s="638" t="s">
        <v>30</v>
      </c>
      <c r="M11" s="639">
        <f>SUMIFS($B$10:$B$100,$A$10:$A$100,"마두청소년수련관")</f>
        <v>1588140000</v>
      </c>
      <c r="N11" s="631">
        <f>SUMIF($A$10:$A$100,"마두청소년수련관",$D$10:$D$100)</f>
        <v>1586392000</v>
      </c>
      <c r="O11" s="603"/>
      <c r="P11" s="603"/>
      <c r="Q11" s="603"/>
      <c r="R11" s="603"/>
      <c r="S11" s="604"/>
      <c r="T11" s="634" t="s">
        <v>30</v>
      </c>
      <c r="U11" s="634">
        <v>1588140000</v>
      </c>
      <c r="V11" s="634">
        <v>1586392000</v>
      </c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603"/>
      <c r="AJ11" s="603"/>
      <c r="AK11" s="603"/>
      <c r="AL11" s="603"/>
      <c r="AM11" s="603"/>
      <c r="AN11" s="603"/>
      <c r="AO11" s="603"/>
      <c r="AP11" s="603"/>
      <c r="AQ11" s="603"/>
      <c r="AR11" s="603"/>
      <c r="AS11" s="603"/>
      <c r="AT11" s="603"/>
      <c r="AU11" s="603"/>
      <c r="AV11" s="603"/>
      <c r="AW11" s="603"/>
      <c r="AX11" s="603"/>
      <c r="AY11" s="603"/>
      <c r="AZ11" s="603"/>
      <c r="BA11" s="603"/>
      <c r="BB11" s="603"/>
      <c r="BC11" s="603"/>
      <c r="BD11" s="603"/>
      <c r="BE11" s="603"/>
      <c r="BF11" s="603"/>
      <c r="BG11" s="603"/>
      <c r="BH11" s="603"/>
      <c r="BI11" s="603"/>
      <c r="BJ11" s="603"/>
      <c r="BK11" s="603"/>
      <c r="BL11" s="603"/>
      <c r="BM11" s="603"/>
      <c r="BN11" s="603"/>
      <c r="BO11" s="603"/>
      <c r="BP11" s="603"/>
      <c r="BQ11" s="603"/>
      <c r="BR11" s="603"/>
      <c r="BS11" s="603"/>
      <c r="BT11" s="603"/>
      <c r="BU11" s="603"/>
      <c r="BV11" s="603"/>
      <c r="BW11" s="603"/>
      <c r="BX11" s="603"/>
      <c r="BY11" s="603"/>
      <c r="BZ11" s="603"/>
      <c r="CA11" s="603"/>
      <c r="CB11" s="603"/>
      <c r="CC11" s="603"/>
      <c r="CD11" s="603"/>
      <c r="CE11" s="603"/>
      <c r="CF11" s="603"/>
      <c r="CG11" s="603"/>
      <c r="CH11" s="603"/>
      <c r="CI11" s="603"/>
      <c r="CJ11" s="603"/>
      <c r="CK11" s="603"/>
      <c r="CL11" s="603"/>
      <c r="CM11" s="603"/>
      <c r="CN11" s="603"/>
      <c r="CO11" s="603"/>
      <c r="CP11" s="603"/>
      <c r="CQ11" s="603"/>
      <c r="CR11" s="603"/>
      <c r="CS11" s="603"/>
      <c r="CT11" s="603"/>
      <c r="CU11" s="603"/>
      <c r="CV11" s="603"/>
      <c r="CW11" s="603"/>
      <c r="CX11" s="603"/>
      <c r="CY11" s="603"/>
      <c r="CZ11" s="603"/>
      <c r="DA11" s="603"/>
      <c r="DB11" s="603"/>
      <c r="DC11" s="603"/>
      <c r="DD11" s="603"/>
      <c r="DE11" s="603"/>
      <c r="DF11" s="603"/>
      <c r="DG11" s="603"/>
      <c r="DH11" s="603"/>
      <c r="DI11" s="603"/>
      <c r="DJ11" s="603"/>
      <c r="DK11" s="603"/>
      <c r="DL11" s="603"/>
      <c r="DM11" s="603"/>
      <c r="DN11" s="603"/>
      <c r="DO11" s="603"/>
      <c r="DP11" s="603"/>
      <c r="DQ11" s="603"/>
      <c r="DR11" s="603"/>
      <c r="DS11" s="603"/>
      <c r="DT11" s="603"/>
      <c r="DU11" s="603"/>
      <c r="DV11" s="603"/>
      <c r="DW11" s="603"/>
      <c r="DX11" s="603"/>
      <c r="DY11" s="603"/>
      <c r="DZ11" s="603"/>
      <c r="EA11" s="603"/>
      <c r="EB11" s="603"/>
      <c r="EC11" s="603"/>
      <c r="ED11" s="603"/>
      <c r="EE11" s="603"/>
      <c r="EF11" s="603"/>
      <c r="EG11" s="603"/>
      <c r="EH11" s="603"/>
      <c r="EI11" s="603"/>
      <c r="EJ11" s="603"/>
      <c r="EK11" s="603"/>
      <c r="EL11" s="603"/>
      <c r="EM11" s="603"/>
      <c r="EN11" s="603"/>
      <c r="EO11" s="603"/>
      <c r="EP11" s="603"/>
      <c r="EQ11" s="603"/>
      <c r="ER11" s="603"/>
      <c r="ES11" s="603"/>
      <c r="ET11" s="603"/>
      <c r="EU11" s="603"/>
      <c r="EV11" s="603"/>
    </row>
    <row r="12" spans="1:152" s="605" customFormat="1" ht="20.100000000000001" customHeight="1">
      <c r="A12" s="635" t="s">
        <v>23</v>
      </c>
      <c r="B12" s="627">
        <f>'예산세출(진로)'!Q8</f>
        <v>176359000</v>
      </c>
      <c r="C12" s="636">
        <f t="shared" ref="C12:C80" si="3">+B12/$B$7</f>
        <v>2.0229588085352003E-2</v>
      </c>
      <c r="D12" s="627">
        <f>ROUNDUP('예산세출(진로)'!R8,-3)</f>
        <v>170770000</v>
      </c>
      <c r="E12" s="626">
        <f t="shared" si="0"/>
        <v>2.9315324016129008E-2</v>
      </c>
      <c r="F12" s="627">
        <f t="shared" si="1"/>
        <v>5589000</v>
      </c>
      <c r="G12" s="637">
        <f t="shared" si="2"/>
        <v>3.2728230953914625E-2</v>
      </c>
      <c r="H12" s="602"/>
      <c r="I12" s="602"/>
      <c r="J12" s="602"/>
      <c r="K12" s="602"/>
      <c r="L12" s="638" t="s">
        <v>2140</v>
      </c>
      <c r="M12" s="639">
        <f>SUMIFS($B$10:$B$100,$A$10:$A$100,"고양시청소년진로센터")</f>
        <v>325228000</v>
      </c>
      <c r="N12" s="631">
        <f>SUMIF($A$10:$A$100,"고양시청소년진로센터",$D$10:$D$100)</f>
        <v>231000000</v>
      </c>
      <c r="O12" s="603"/>
      <c r="P12" s="603"/>
      <c r="Q12" s="603"/>
      <c r="R12" s="603"/>
      <c r="S12" s="603"/>
      <c r="T12" s="634" t="s">
        <v>1629</v>
      </c>
      <c r="U12" s="634">
        <v>325228000</v>
      </c>
      <c r="V12" s="634">
        <v>231000000</v>
      </c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603"/>
      <c r="AJ12" s="603"/>
      <c r="AK12" s="603"/>
      <c r="AL12" s="603"/>
      <c r="AM12" s="603"/>
      <c r="AN12" s="603"/>
      <c r="AO12" s="603"/>
      <c r="AP12" s="603"/>
      <c r="AQ12" s="603"/>
      <c r="AR12" s="603"/>
      <c r="AS12" s="603"/>
      <c r="AT12" s="603"/>
      <c r="AU12" s="603"/>
      <c r="AV12" s="603"/>
      <c r="AW12" s="603"/>
      <c r="AX12" s="603"/>
      <c r="AY12" s="603"/>
      <c r="AZ12" s="603"/>
      <c r="BA12" s="603"/>
      <c r="BB12" s="603"/>
      <c r="BC12" s="603"/>
      <c r="BD12" s="603"/>
      <c r="BE12" s="603"/>
      <c r="BF12" s="603"/>
      <c r="BG12" s="603"/>
      <c r="BH12" s="603"/>
      <c r="BI12" s="603"/>
      <c r="BJ12" s="603"/>
      <c r="BK12" s="603"/>
      <c r="BL12" s="603"/>
      <c r="BM12" s="603"/>
      <c r="BN12" s="603"/>
      <c r="BO12" s="603"/>
      <c r="BP12" s="603"/>
      <c r="BQ12" s="603"/>
      <c r="BR12" s="603"/>
      <c r="BS12" s="603"/>
      <c r="BT12" s="603"/>
      <c r="BU12" s="603"/>
      <c r="BV12" s="603"/>
      <c r="BW12" s="603"/>
      <c r="BX12" s="603"/>
      <c r="BY12" s="603"/>
      <c r="BZ12" s="603"/>
      <c r="CA12" s="603"/>
      <c r="CB12" s="603"/>
      <c r="CC12" s="603"/>
      <c r="CD12" s="603"/>
      <c r="CE12" s="603"/>
      <c r="CF12" s="603"/>
      <c r="CG12" s="603"/>
      <c r="CH12" s="603"/>
      <c r="CI12" s="603"/>
      <c r="CJ12" s="603"/>
      <c r="CK12" s="603"/>
      <c r="CL12" s="603"/>
      <c r="CM12" s="603"/>
      <c r="CN12" s="603"/>
      <c r="CO12" s="603"/>
      <c r="CP12" s="603"/>
      <c r="CQ12" s="603"/>
      <c r="CR12" s="603"/>
      <c r="CS12" s="603"/>
      <c r="CT12" s="603"/>
      <c r="CU12" s="603"/>
      <c r="CV12" s="603"/>
      <c r="CW12" s="603"/>
      <c r="CX12" s="603"/>
      <c r="CY12" s="603"/>
      <c r="CZ12" s="603"/>
      <c r="DA12" s="603"/>
      <c r="DB12" s="603"/>
      <c r="DC12" s="603"/>
      <c r="DD12" s="603"/>
      <c r="DE12" s="603"/>
      <c r="DF12" s="603"/>
      <c r="DG12" s="603"/>
      <c r="DH12" s="603"/>
      <c r="DI12" s="603"/>
      <c r="DJ12" s="603"/>
      <c r="DK12" s="603"/>
      <c r="DL12" s="603"/>
      <c r="DM12" s="603"/>
      <c r="DN12" s="603"/>
      <c r="DO12" s="603"/>
      <c r="DP12" s="603"/>
      <c r="DQ12" s="603"/>
      <c r="DR12" s="603"/>
      <c r="DS12" s="603"/>
      <c r="DT12" s="603"/>
      <c r="DU12" s="603"/>
      <c r="DV12" s="603"/>
      <c r="DW12" s="603"/>
      <c r="DX12" s="603"/>
      <c r="DY12" s="603"/>
      <c r="DZ12" s="603"/>
      <c r="EA12" s="603"/>
      <c r="EB12" s="603"/>
      <c r="EC12" s="603"/>
      <c r="ED12" s="603"/>
      <c r="EE12" s="603"/>
      <c r="EF12" s="603"/>
      <c r="EG12" s="603"/>
      <c r="EH12" s="603"/>
      <c r="EI12" s="603"/>
      <c r="EJ12" s="603"/>
      <c r="EK12" s="603"/>
      <c r="EL12" s="603"/>
      <c r="EM12" s="603"/>
      <c r="EN12" s="603"/>
      <c r="EO12" s="603"/>
      <c r="EP12" s="603"/>
      <c r="EQ12" s="603"/>
      <c r="ER12" s="603"/>
      <c r="ES12" s="603"/>
      <c r="ET12" s="603"/>
      <c r="EU12" s="603"/>
      <c r="EV12" s="603"/>
    </row>
    <row r="13" spans="1:152" s="605" customFormat="1" ht="20.100000000000001" customHeight="1">
      <c r="A13" s="635" t="s">
        <v>24</v>
      </c>
      <c r="B13" s="627">
        <f>'예산세출(성사)'!R8</f>
        <v>185845000</v>
      </c>
      <c r="C13" s="636">
        <f t="shared" si="3"/>
        <v>2.1317697411088989E-2</v>
      </c>
      <c r="D13" s="627">
        <f>'예산세출(성사)'!S8</f>
        <v>132723000</v>
      </c>
      <c r="E13" s="636">
        <f t="shared" si="0"/>
        <v>2.2783965271374891E-2</v>
      </c>
      <c r="F13" s="627">
        <f t="shared" si="1"/>
        <v>53122000</v>
      </c>
      <c r="G13" s="637">
        <f t="shared" si="2"/>
        <v>0.40024713124326605</v>
      </c>
      <c r="H13" s="602"/>
      <c r="I13" s="602"/>
      <c r="J13" s="602"/>
      <c r="K13" s="602"/>
      <c r="L13" s="629" t="s">
        <v>1624</v>
      </c>
      <c r="M13" s="639">
        <f>SUMIFS($B$10:$B$100,$A$10:$A$100,"성사청소년문화의집")</f>
        <v>358138000</v>
      </c>
      <c r="N13" s="631">
        <f>SUMIF($A$10:$A$100,"성사청소년문화의집",$D$10:$D$100)</f>
        <v>245371000</v>
      </c>
      <c r="O13" s="603"/>
      <c r="P13" s="603"/>
      <c r="Q13" s="603"/>
      <c r="R13" s="603"/>
      <c r="S13" s="603"/>
      <c r="T13" s="634" t="s">
        <v>1624</v>
      </c>
      <c r="U13" s="634">
        <v>358138000</v>
      </c>
      <c r="V13" s="634">
        <v>245371000</v>
      </c>
      <c r="W13" s="603"/>
      <c r="X13" s="603"/>
      <c r="Y13" s="603"/>
      <c r="Z13" s="603"/>
      <c r="AA13" s="603"/>
      <c r="AB13" s="603"/>
      <c r="AC13" s="603"/>
      <c r="AD13" s="603"/>
      <c r="AE13" s="603"/>
      <c r="AF13" s="603"/>
      <c r="AG13" s="603"/>
      <c r="AH13" s="603"/>
      <c r="AI13" s="603"/>
      <c r="AJ13" s="603"/>
      <c r="AK13" s="603"/>
      <c r="AL13" s="603"/>
      <c r="AM13" s="603"/>
      <c r="AN13" s="603"/>
      <c r="AO13" s="603"/>
      <c r="AP13" s="603"/>
      <c r="AQ13" s="603"/>
      <c r="AR13" s="603"/>
      <c r="AS13" s="603"/>
      <c r="AT13" s="603"/>
      <c r="AU13" s="603"/>
      <c r="AV13" s="603"/>
      <c r="AW13" s="603"/>
      <c r="AX13" s="603"/>
      <c r="AY13" s="603"/>
      <c r="AZ13" s="603"/>
      <c r="BA13" s="603"/>
      <c r="BB13" s="603"/>
      <c r="BC13" s="603"/>
      <c r="BD13" s="603"/>
      <c r="BE13" s="603"/>
      <c r="BF13" s="603"/>
      <c r="BG13" s="603"/>
      <c r="BH13" s="603"/>
      <c r="BI13" s="603"/>
      <c r="BJ13" s="603"/>
      <c r="BK13" s="603"/>
      <c r="BL13" s="603"/>
      <c r="BM13" s="603"/>
      <c r="BN13" s="603"/>
      <c r="BO13" s="603"/>
      <c r="BP13" s="603"/>
      <c r="BQ13" s="603"/>
      <c r="BR13" s="603"/>
      <c r="BS13" s="603"/>
      <c r="BT13" s="603"/>
      <c r="BU13" s="603"/>
      <c r="BV13" s="603"/>
      <c r="BW13" s="603"/>
      <c r="BX13" s="603"/>
      <c r="BY13" s="603"/>
      <c r="BZ13" s="603"/>
      <c r="CA13" s="603"/>
      <c r="CB13" s="603"/>
      <c r="CC13" s="603"/>
      <c r="CD13" s="603"/>
      <c r="CE13" s="603"/>
      <c r="CF13" s="603"/>
      <c r="CG13" s="603"/>
      <c r="CH13" s="603"/>
      <c r="CI13" s="603"/>
      <c r="CJ13" s="603"/>
      <c r="CK13" s="603"/>
      <c r="CL13" s="603"/>
      <c r="CM13" s="603"/>
      <c r="CN13" s="603"/>
      <c r="CO13" s="603"/>
      <c r="CP13" s="603"/>
      <c r="CQ13" s="603"/>
      <c r="CR13" s="603"/>
      <c r="CS13" s="603"/>
      <c r="CT13" s="603"/>
      <c r="CU13" s="603"/>
      <c r="CV13" s="603"/>
      <c r="CW13" s="603"/>
      <c r="CX13" s="603"/>
      <c r="CY13" s="603"/>
      <c r="CZ13" s="603"/>
      <c r="DA13" s="603"/>
      <c r="DB13" s="603"/>
      <c r="DC13" s="603"/>
      <c r="DD13" s="603"/>
      <c r="DE13" s="603"/>
      <c r="DF13" s="603"/>
      <c r="DG13" s="603"/>
      <c r="DH13" s="603"/>
      <c r="DI13" s="603"/>
      <c r="DJ13" s="603"/>
      <c r="DK13" s="603"/>
      <c r="DL13" s="603"/>
      <c r="DM13" s="603"/>
      <c r="DN13" s="603"/>
      <c r="DO13" s="603"/>
      <c r="DP13" s="603"/>
      <c r="DQ13" s="603"/>
      <c r="DR13" s="603"/>
      <c r="DS13" s="603"/>
      <c r="DT13" s="603"/>
      <c r="DU13" s="603"/>
      <c r="DV13" s="603"/>
      <c r="DW13" s="603"/>
      <c r="DX13" s="603"/>
      <c r="DY13" s="603"/>
      <c r="DZ13" s="603"/>
      <c r="EA13" s="603"/>
      <c r="EB13" s="603"/>
      <c r="EC13" s="603"/>
      <c r="ED13" s="603"/>
      <c r="EE13" s="603"/>
      <c r="EF13" s="603"/>
      <c r="EG13" s="603"/>
      <c r="EH13" s="603"/>
      <c r="EI13" s="603"/>
      <c r="EJ13" s="603"/>
      <c r="EK13" s="603"/>
      <c r="EL13" s="603"/>
      <c r="EM13" s="603"/>
      <c r="EN13" s="603"/>
      <c r="EO13" s="603"/>
      <c r="EP13" s="603"/>
      <c r="EQ13" s="603"/>
      <c r="ER13" s="603"/>
      <c r="ES13" s="603"/>
      <c r="ET13" s="603"/>
      <c r="EU13" s="603"/>
      <c r="EV13" s="603"/>
    </row>
    <row r="14" spans="1:152" s="605" customFormat="1" ht="20.100000000000001" customHeight="1">
      <c r="A14" s="635" t="s">
        <v>25</v>
      </c>
      <c r="B14" s="627">
        <f>'예산세출(탄현)'!Q8</f>
        <v>133061000</v>
      </c>
      <c r="C14" s="636">
        <f t="shared" si="3"/>
        <v>1.5263010224740574E-2</v>
      </c>
      <c r="D14" s="627">
        <f>'예산세출(탄현)'!R8</f>
        <v>115502000</v>
      </c>
      <c r="E14" s="626">
        <f t="shared" si="0"/>
        <v>1.9827713032212525E-2</v>
      </c>
      <c r="F14" s="627">
        <f t="shared" si="1"/>
        <v>17559000</v>
      </c>
      <c r="G14" s="637">
        <f t="shared" si="2"/>
        <v>0.15202334158715866</v>
      </c>
      <c r="H14" s="602"/>
      <c r="I14" s="602"/>
      <c r="J14" s="602"/>
      <c r="K14" s="602"/>
      <c r="L14" s="638" t="s">
        <v>1625</v>
      </c>
      <c r="M14" s="639">
        <f>SUMIFS($B$10:$B$100,$A$10:$A$100,"탄현청소년문화의집")</f>
        <v>343038000</v>
      </c>
      <c r="N14" s="631">
        <f>SUMIF($A$10:$A$100,"탄현청소년문화의집",$D$10:$D$100)</f>
        <v>261170000</v>
      </c>
      <c r="O14" s="603"/>
      <c r="P14" s="603"/>
      <c r="Q14" s="603"/>
      <c r="R14" s="603"/>
      <c r="S14" s="603"/>
      <c r="T14" s="634" t="s">
        <v>1625</v>
      </c>
      <c r="U14" s="634">
        <v>343038000</v>
      </c>
      <c r="V14" s="634">
        <v>261170000</v>
      </c>
      <c r="W14" s="603"/>
      <c r="X14" s="603"/>
      <c r="Y14" s="603"/>
      <c r="Z14" s="603"/>
      <c r="AA14" s="603"/>
      <c r="AB14" s="603"/>
      <c r="AC14" s="603"/>
      <c r="AD14" s="603"/>
      <c r="AE14" s="603"/>
      <c r="AF14" s="603"/>
      <c r="AG14" s="603"/>
      <c r="AH14" s="603"/>
      <c r="AI14" s="603"/>
      <c r="AJ14" s="603"/>
      <c r="AK14" s="603"/>
      <c r="AL14" s="603"/>
      <c r="AM14" s="603"/>
      <c r="AN14" s="603"/>
      <c r="AO14" s="603"/>
      <c r="AP14" s="603"/>
      <c r="AQ14" s="603"/>
      <c r="AR14" s="603"/>
      <c r="AS14" s="603"/>
      <c r="AT14" s="603"/>
      <c r="AU14" s="603"/>
      <c r="AV14" s="603"/>
      <c r="AW14" s="603"/>
      <c r="AX14" s="603"/>
      <c r="AY14" s="603"/>
      <c r="AZ14" s="603"/>
      <c r="BA14" s="603"/>
      <c r="BB14" s="603"/>
      <c r="BC14" s="603"/>
      <c r="BD14" s="603"/>
      <c r="BE14" s="603"/>
      <c r="BF14" s="603"/>
      <c r="BG14" s="603"/>
      <c r="BH14" s="603"/>
      <c r="BI14" s="603"/>
      <c r="BJ14" s="603"/>
      <c r="BK14" s="603"/>
      <c r="BL14" s="603"/>
      <c r="BM14" s="603"/>
      <c r="BN14" s="603"/>
      <c r="BO14" s="603"/>
      <c r="BP14" s="603"/>
      <c r="BQ14" s="603"/>
      <c r="BR14" s="603"/>
      <c r="BS14" s="603"/>
      <c r="BT14" s="603"/>
      <c r="BU14" s="603"/>
      <c r="BV14" s="603"/>
      <c r="BW14" s="603"/>
      <c r="BX14" s="603"/>
      <c r="BY14" s="603"/>
      <c r="BZ14" s="603"/>
      <c r="CA14" s="603"/>
      <c r="CB14" s="603"/>
      <c r="CC14" s="603"/>
      <c r="CD14" s="603"/>
      <c r="CE14" s="603"/>
      <c r="CF14" s="603"/>
      <c r="CG14" s="603"/>
      <c r="CH14" s="603"/>
      <c r="CI14" s="603"/>
      <c r="CJ14" s="603"/>
      <c r="CK14" s="603"/>
      <c r="CL14" s="603"/>
      <c r="CM14" s="603"/>
      <c r="CN14" s="603"/>
      <c r="CO14" s="603"/>
      <c r="CP14" s="603"/>
      <c r="CQ14" s="603"/>
      <c r="CR14" s="603"/>
      <c r="CS14" s="603"/>
      <c r="CT14" s="603"/>
      <c r="CU14" s="603"/>
      <c r="CV14" s="603"/>
      <c r="CW14" s="603"/>
      <c r="CX14" s="603"/>
      <c r="CY14" s="603"/>
      <c r="CZ14" s="603"/>
      <c r="DA14" s="603"/>
      <c r="DB14" s="603"/>
      <c r="DC14" s="603"/>
      <c r="DD14" s="603"/>
      <c r="DE14" s="603"/>
      <c r="DF14" s="603"/>
      <c r="DG14" s="603"/>
      <c r="DH14" s="603"/>
      <c r="DI14" s="603"/>
      <c r="DJ14" s="603"/>
      <c r="DK14" s="603"/>
      <c r="DL14" s="603"/>
      <c r="DM14" s="603"/>
      <c r="DN14" s="603"/>
      <c r="DO14" s="603"/>
      <c r="DP14" s="603"/>
      <c r="DQ14" s="603"/>
      <c r="DR14" s="603"/>
      <c r="DS14" s="603"/>
      <c r="DT14" s="603"/>
      <c r="DU14" s="603"/>
      <c r="DV14" s="603"/>
      <c r="DW14" s="603"/>
      <c r="DX14" s="603"/>
      <c r="DY14" s="603"/>
      <c r="DZ14" s="603"/>
      <c r="EA14" s="603"/>
      <c r="EB14" s="603"/>
      <c r="EC14" s="603"/>
      <c r="ED14" s="603"/>
      <c r="EE14" s="603"/>
      <c r="EF14" s="603"/>
      <c r="EG14" s="603"/>
      <c r="EH14" s="603"/>
      <c r="EI14" s="603"/>
      <c r="EJ14" s="603"/>
      <c r="EK14" s="603"/>
      <c r="EL14" s="603"/>
      <c r="EM14" s="603"/>
      <c r="EN14" s="603"/>
      <c r="EO14" s="603"/>
      <c r="EP14" s="603"/>
      <c r="EQ14" s="603"/>
      <c r="ER14" s="603"/>
      <c r="ES14" s="603"/>
      <c r="ET14" s="603"/>
      <c r="EU14" s="603"/>
      <c r="EV14" s="603"/>
    </row>
    <row r="15" spans="1:152" s="605" customFormat="1" ht="20.100000000000001" customHeight="1">
      <c r="A15" s="635" t="s">
        <v>2130</v>
      </c>
      <c r="B15" s="627">
        <f>'예산세출(주교)'!Q8</f>
        <v>46863000</v>
      </c>
      <c r="C15" s="636">
        <f t="shared" si="3"/>
        <v>5.3755078359701003E-3</v>
      </c>
      <c r="D15" s="627">
        <f>'예산세출(주교)'!R8</f>
        <v>32193000</v>
      </c>
      <c r="E15" s="626">
        <f t="shared" si="0"/>
        <v>5.5264286821528437E-3</v>
      </c>
      <c r="F15" s="627">
        <f t="shared" si="1"/>
        <v>14670000</v>
      </c>
      <c r="G15" s="637">
        <f t="shared" si="2"/>
        <v>0.45568912496505454</v>
      </c>
      <c r="H15" s="602"/>
      <c r="I15" s="602"/>
      <c r="J15" s="602"/>
      <c r="K15" s="602"/>
      <c r="L15" s="638" t="s">
        <v>2313</v>
      </c>
      <c r="M15" s="639">
        <f>SUMIFS($B$10:$B$100,$A$10:$A$100,"주교동청소년카페")</f>
        <v>66689000</v>
      </c>
      <c r="N15" s="631">
        <f>SUMIF($A$10:$A$100,"주교동청소년카페",$D$10:$D$100)</f>
        <v>50660000</v>
      </c>
      <c r="O15" s="603"/>
      <c r="P15" s="603"/>
      <c r="Q15" s="603"/>
      <c r="R15" s="603"/>
      <c r="S15" s="603"/>
      <c r="T15" s="634" t="s">
        <v>2141</v>
      </c>
      <c r="U15" s="634">
        <v>66689000</v>
      </c>
      <c r="V15" s="634">
        <v>50660000</v>
      </c>
      <c r="W15" s="603"/>
      <c r="X15" s="603"/>
      <c r="Y15" s="603"/>
      <c r="Z15" s="603"/>
      <c r="AA15" s="603"/>
      <c r="AB15" s="603"/>
      <c r="AC15" s="603"/>
      <c r="AD15" s="603"/>
      <c r="AE15" s="603"/>
      <c r="AF15" s="603"/>
      <c r="AG15" s="603"/>
      <c r="AH15" s="603"/>
      <c r="AI15" s="603"/>
      <c r="AJ15" s="603"/>
      <c r="AK15" s="603"/>
      <c r="AL15" s="603"/>
      <c r="AM15" s="603"/>
      <c r="AN15" s="603"/>
      <c r="AO15" s="603"/>
      <c r="AP15" s="603"/>
      <c r="AQ15" s="603"/>
      <c r="AR15" s="603"/>
      <c r="AS15" s="603"/>
      <c r="AT15" s="603"/>
      <c r="AU15" s="603"/>
      <c r="AV15" s="603"/>
      <c r="AW15" s="603"/>
      <c r="AX15" s="603"/>
      <c r="AY15" s="603"/>
      <c r="AZ15" s="603"/>
      <c r="BA15" s="603"/>
      <c r="BB15" s="603"/>
      <c r="BC15" s="603"/>
      <c r="BD15" s="603"/>
      <c r="BE15" s="603"/>
      <c r="BF15" s="603"/>
      <c r="BG15" s="603"/>
      <c r="BH15" s="603"/>
      <c r="BI15" s="603"/>
      <c r="BJ15" s="603"/>
      <c r="BK15" s="603"/>
      <c r="BL15" s="603"/>
      <c r="BM15" s="603"/>
      <c r="BN15" s="603"/>
      <c r="BO15" s="603"/>
      <c r="BP15" s="603"/>
      <c r="BQ15" s="603"/>
      <c r="BR15" s="603"/>
      <c r="BS15" s="603"/>
      <c r="BT15" s="603"/>
      <c r="BU15" s="603"/>
      <c r="BV15" s="603"/>
      <c r="BW15" s="603"/>
      <c r="BX15" s="603"/>
      <c r="BY15" s="603"/>
      <c r="BZ15" s="603"/>
      <c r="CA15" s="603"/>
      <c r="CB15" s="603"/>
      <c r="CC15" s="603"/>
      <c r="CD15" s="603"/>
      <c r="CE15" s="603"/>
      <c r="CF15" s="603"/>
      <c r="CG15" s="603"/>
      <c r="CH15" s="603"/>
      <c r="CI15" s="603"/>
      <c r="CJ15" s="603"/>
      <c r="CK15" s="603"/>
      <c r="CL15" s="603"/>
      <c r="CM15" s="603"/>
      <c r="CN15" s="603"/>
      <c r="CO15" s="603"/>
      <c r="CP15" s="603"/>
      <c r="CQ15" s="603"/>
      <c r="CR15" s="603"/>
      <c r="CS15" s="603"/>
      <c r="CT15" s="603"/>
      <c r="CU15" s="603"/>
      <c r="CV15" s="603"/>
      <c r="CW15" s="603"/>
      <c r="CX15" s="603"/>
      <c r="CY15" s="603"/>
      <c r="CZ15" s="603"/>
      <c r="DA15" s="603"/>
      <c r="DB15" s="603"/>
      <c r="DC15" s="603"/>
      <c r="DD15" s="603"/>
      <c r="DE15" s="603"/>
      <c r="DF15" s="603"/>
      <c r="DG15" s="603"/>
      <c r="DH15" s="603"/>
      <c r="DI15" s="603"/>
      <c r="DJ15" s="603"/>
      <c r="DK15" s="603"/>
      <c r="DL15" s="603"/>
      <c r="DM15" s="603"/>
      <c r="DN15" s="603"/>
      <c r="DO15" s="603"/>
      <c r="DP15" s="603"/>
      <c r="DQ15" s="603"/>
      <c r="DR15" s="603"/>
      <c r="DS15" s="603"/>
      <c r="DT15" s="603"/>
      <c r="DU15" s="603"/>
      <c r="DV15" s="603"/>
      <c r="DW15" s="603"/>
      <c r="DX15" s="603"/>
      <c r="DY15" s="603"/>
      <c r="DZ15" s="603"/>
      <c r="EA15" s="603"/>
      <c r="EB15" s="603"/>
      <c r="EC15" s="603"/>
      <c r="ED15" s="603"/>
      <c r="EE15" s="603"/>
      <c r="EF15" s="603"/>
      <c r="EG15" s="603"/>
      <c r="EH15" s="603"/>
      <c r="EI15" s="603"/>
      <c r="EJ15" s="603"/>
      <c r="EK15" s="603"/>
      <c r="EL15" s="603"/>
      <c r="EM15" s="603"/>
      <c r="EN15" s="603"/>
      <c r="EO15" s="603"/>
      <c r="EP15" s="603"/>
      <c r="EQ15" s="603"/>
      <c r="ER15" s="603"/>
      <c r="ES15" s="603"/>
      <c r="ET15" s="603"/>
      <c r="EU15" s="603"/>
      <c r="EV15" s="603"/>
    </row>
    <row r="16" spans="1:152" s="605" customFormat="1" ht="20.100000000000001" customHeight="1">
      <c r="A16" s="635" t="s">
        <v>2131</v>
      </c>
      <c r="B16" s="627">
        <f>'예산세출(일산서구)'!Q8</f>
        <v>500000000</v>
      </c>
      <c r="C16" s="636">
        <f t="shared" si="3"/>
        <v>5.7353432729126387E-2</v>
      </c>
      <c r="D16" s="627">
        <v>0</v>
      </c>
      <c r="E16" s="626">
        <f t="shared" si="0"/>
        <v>0</v>
      </c>
      <c r="F16" s="627">
        <f t="shared" si="1"/>
        <v>500000000</v>
      </c>
      <c r="G16" s="640">
        <v>1</v>
      </c>
      <c r="H16" s="602"/>
      <c r="I16" s="602"/>
      <c r="J16" s="602"/>
      <c r="K16" s="602"/>
      <c r="L16" s="629" t="s">
        <v>2127</v>
      </c>
      <c r="M16" s="639">
        <f>SUMIFS($B$10:$B$100,$A$10:$A$100,"일산서구청소년수련관")</f>
        <v>1775783000</v>
      </c>
      <c r="N16" s="631">
        <f>SUMIF($A$10:$A$100,"일산서구청소년수련관",$D$10:$D$100)</f>
        <v>0</v>
      </c>
      <c r="O16" s="603"/>
      <c r="P16" s="603"/>
      <c r="Q16" s="603"/>
      <c r="R16" s="603"/>
      <c r="S16" s="603"/>
      <c r="T16" s="634" t="s">
        <v>2127</v>
      </c>
      <c r="U16" s="634">
        <v>1775783000</v>
      </c>
      <c r="V16" s="634">
        <v>0</v>
      </c>
      <c r="W16" s="603"/>
      <c r="X16" s="603"/>
      <c r="Y16" s="603"/>
      <c r="Z16" s="603"/>
      <c r="AA16" s="603"/>
      <c r="AB16" s="603"/>
      <c r="AC16" s="603"/>
      <c r="AD16" s="603"/>
      <c r="AE16" s="603"/>
      <c r="AF16" s="603"/>
      <c r="AG16" s="603"/>
      <c r="AH16" s="603"/>
      <c r="AI16" s="603"/>
      <c r="AJ16" s="603"/>
      <c r="AK16" s="603"/>
      <c r="AL16" s="603"/>
      <c r="AM16" s="603"/>
      <c r="AN16" s="603"/>
      <c r="AO16" s="603"/>
      <c r="AP16" s="603"/>
      <c r="AQ16" s="603"/>
      <c r="AR16" s="603"/>
      <c r="AS16" s="603"/>
      <c r="AT16" s="603"/>
      <c r="AU16" s="603"/>
      <c r="AV16" s="603"/>
      <c r="AW16" s="603"/>
      <c r="AX16" s="603"/>
      <c r="AY16" s="603"/>
      <c r="AZ16" s="603"/>
      <c r="BA16" s="603"/>
      <c r="BB16" s="603"/>
      <c r="BC16" s="603"/>
      <c r="BD16" s="603"/>
      <c r="BE16" s="603"/>
      <c r="BF16" s="603"/>
      <c r="BG16" s="603"/>
      <c r="BH16" s="603"/>
      <c r="BI16" s="603"/>
      <c r="BJ16" s="603"/>
      <c r="BK16" s="603"/>
      <c r="BL16" s="603"/>
      <c r="BM16" s="603"/>
      <c r="BN16" s="603"/>
      <c r="BO16" s="603"/>
      <c r="BP16" s="603"/>
      <c r="BQ16" s="603"/>
      <c r="BR16" s="603"/>
      <c r="BS16" s="603"/>
      <c r="BT16" s="603"/>
      <c r="BU16" s="603"/>
      <c r="BV16" s="603"/>
      <c r="BW16" s="603"/>
      <c r="BX16" s="603"/>
      <c r="BY16" s="603"/>
      <c r="BZ16" s="603"/>
      <c r="CA16" s="603"/>
      <c r="CB16" s="603"/>
      <c r="CC16" s="603"/>
      <c r="CD16" s="603"/>
      <c r="CE16" s="603"/>
      <c r="CF16" s="603"/>
      <c r="CG16" s="603"/>
      <c r="CH16" s="603"/>
      <c r="CI16" s="603"/>
      <c r="CJ16" s="603"/>
      <c r="CK16" s="603"/>
      <c r="CL16" s="603"/>
      <c r="CM16" s="603"/>
      <c r="CN16" s="603"/>
      <c r="CO16" s="603"/>
      <c r="CP16" s="603"/>
      <c r="CQ16" s="603"/>
      <c r="CR16" s="603"/>
      <c r="CS16" s="603"/>
      <c r="CT16" s="603"/>
      <c r="CU16" s="603"/>
      <c r="CV16" s="603"/>
      <c r="CW16" s="603"/>
      <c r="CX16" s="603"/>
      <c r="CY16" s="603"/>
      <c r="CZ16" s="603"/>
      <c r="DA16" s="603"/>
      <c r="DB16" s="603"/>
      <c r="DC16" s="603"/>
      <c r="DD16" s="603"/>
      <c r="DE16" s="603"/>
      <c r="DF16" s="603"/>
      <c r="DG16" s="603"/>
      <c r="DH16" s="603"/>
      <c r="DI16" s="603"/>
      <c r="DJ16" s="603"/>
      <c r="DK16" s="603"/>
      <c r="DL16" s="603"/>
      <c r="DM16" s="603"/>
      <c r="DN16" s="603"/>
      <c r="DO16" s="603"/>
      <c r="DP16" s="603"/>
      <c r="DQ16" s="603"/>
      <c r="DR16" s="603"/>
      <c r="DS16" s="603"/>
      <c r="DT16" s="603"/>
      <c r="DU16" s="603"/>
      <c r="DV16" s="603"/>
      <c r="DW16" s="603"/>
      <c r="DX16" s="603"/>
      <c r="DY16" s="603"/>
      <c r="DZ16" s="603"/>
      <c r="EA16" s="603"/>
      <c r="EB16" s="603"/>
      <c r="EC16" s="603"/>
      <c r="ED16" s="603"/>
      <c r="EE16" s="603"/>
      <c r="EF16" s="603"/>
      <c r="EG16" s="603"/>
      <c r="EH16" s="603"/>
      <c r="EI16" s="603"/>
      <c r="EJ16" s="603"/>
      <c r="EK16" s="603"/>
      <c r="EL16" s="603"/>
      <c r="EM16" s="603"/>
      <c r="EN16" s="603"/>
      <c r="EO16" s="603"/>
      <c r="EP16" s="603"/>
      <c r="EQ16" s="603"/>
      <c r="ER16" s="603"/>
      <c r="ES16" s="603"/>
      <c r="ET16" s="603"/>
      <c r="EU16" s="603"/>
      <c r="EV16" s="603"/>
    </row>
    <row r="17" spans="1:152" s="605" customFormat="1" ht="20.100000000000001" customHeight="1">
      <c r="A17" s="635" t="s">
        <v>26</v>
      </c>
      <c r="B17" s="627">
        <f>'예산세출(토당)'!O8</f>
        <v>574933000</v>
      </c>
      <c r="C17" s="636">
        <f t="shared" si="3"/>
        <v>6.594876227850964E-2</v>
      </c>
      <c r="D17" s="627">
        <f>'예산세출(토당)'!P8</f>
        <v>597800000</v>
      </c>
      <c r="E17" s="626">
        <f t="shared" si="0"/>
        <v>0.10262165893799802</v>
      </c>
      <c r="F17" s="627">
        <f t="shared" si="1"/>
        <v>-22867000</v>
      </c>
      <c r="G17" s="637">
        <f t="shared" si="2"/>
        <v>-3.8251923720307793E-2</v>
      </c>
      <c r="H17" s="602"/>
      <c r="I17" s="602"/>
      <c r="J17" s="602"/>
      <c r="K17" s="602"/>
      <c r="L17" s="641" t="s">
        <v>2137</v>
      </c>
      <c r="M17" s="639">
        <f>SUMIFS($B$10:$B$100,$A$10:$A$100,"토당청소년수련관")</f>
        <v>1705842000</v>
      </c>
      <c r="N17" s="631">
        <f>SUMIF($A$10:$A$100,"토당청소년수련관",$D$10:$D$100)</f>
        <v>1271000000</v>
      </c>
      <c r="O17" s="603"/>
      <c r="P17" s="604"/>
      <c r="Q17" s="603"/>
      <c r="R17" s="604"/>
      <c r="S17" s="603"/>
      <c r="T17" s="634" t="s">
        <v>1626</v>
      </c>
      <c r="U17" s="634">
        <v>1705842000</v>
      </c>
      <c r="V17" s="634">
        <v>1271000000</v>
      </c>
      <c r="W17" s="603"/>
      <c r="X17" s="603"/>
      <c r="Y17" s="603"/>
      <c r="Z17" s="603"/>
      <c r="AA17" s="603"/>
      <c r="AB17" s="603"/>
      <c r="AC17" s="603"/>
      <c r="AD17" s="603"/>
      <c r="AE17" s="603"/>
      <c r="AF17" s="603"/>
      <c r="AG17" s="603"/>
      <c r="AH17" s="603"/>
      <c r="AI17" s="603"/>
      <c r="AJ17" s="603"/>
      <c r="AK17" s="603"/>
      <c r="AL17" s="603"/>
      <c r="AM17" s="603"/>
      <c r="AN17" s="603"/>
      <c r="AO17" s="603"/>
      <c r="AP17" s="603"/>
      <c r="AQ17" s="603"/>
      <c r="AR17" s="603"/>
      <c r="AS17" s="603"/>
      <c r="AT17" s="603"/>
      <c r="AU17" s="603"/>
      <c r="AV17" s="603"/>
      <c r="AW17" s="603"/>
      <c r="AX17" s="603"/>
      <c r="AY17" s="603"/>
      <c r="AZ17" s="603"/>
      <c r="BA17" s="603"/>
      <c r="BB17" s="603"/>
      <c r="BC17" s="603"/>
      <c r="BD17" s="603"/>
      <c r="BE17" s="603"/>
      <c r="BF17" s="603"/>
      <c r="BG17" s="603"/>
      <c r="BH17" s="603"/>
      <c r="BI17" s="603"/>
      <c r="BJ17" s="603"/>
      <c r="BK17" s="603"/>
      <c r="BL17" s="603"/>
      <c r="BM17" s="603"/>
      <c r="BN17" s="603"/>
      <c r="BO17" s="603"/>
      <c r="BP17" s="603"/>
      <c r="BQ17" s="603"/>
      <c r="BR17" s="603"/>
      <c r="BS17" s="603"/>
      <c r="BT17" s="603"/>
      <c r="BU17" s="603"/>
      <c r="BV17" s="603"/>
      <c r="BW17" s="603"/>
      <c r="BX17" s="603"/>
      <c r="BY17" s="603"/>
      <c r="BZ17" s="603"/>
      <c r="CA17" s="603"/>
      <c r="CB17" s="603"/>
      <c r="CC17" s="603"/>
      <c r="CD17" s="603"/>
      <c r="CE17" s="603"/>
      <c r="CF17" s="603"/>
      <c r="CG17" s="603"/>
      <c r="CH17" s="603"/>
      <c r="CI17" s="603"/>
      <c r="CJ17" s="603"/>
      <c r="CK17" s="603"/>
      <c r="CL17" s="603"/>
      <c r="CM17" s="603"/>
      <c r="CN17" s="603"/>
      <c r="CO17" s="603"/>
      <c r="CP17" s="603"/>
      <c r="CQ17" s="603"/>
      <c r="CR17" s="603"/>
      <c r="CS17" s="603"/>
      <c r="CT17" s="603"/>
      <c r="CU17" s="603"/>
      <c r="CV17" s="603"/>
      <c r="CW17" s="603"/>
      <c r="CX17" s="603"/>
      <c r="CY17" s="603"/>
      <c r="CZ17" s="603"/>
      <c r="DA17" s="603"/>
      <c r="DB17" s="603"/>
      <c r="DC17" s="603"/>
      <c r="DD17" s="603"/>
      <c r="DE17" s="603"/>
      <c r="DF17" s="603"/>
      <c r="DG17" s="603"/>
      <c r="DH17" s="603"/>
      <c r="DI17" s="603"/>
      <c r="DJ17" s="603"/>
      <c r="DK17" s="603"/>
      <c r="DL17" s="603"/>
      <c r="DM17" s="603"/>
      <c r="DN17" s="603"/>
      <c r="DO17" s="603"/>
      <c r="DP17" s="603"/>
      <c r="DQ17" s="603"/>
      <c r="DR17" s="603"/>
      <c r="DS17" s="603"/>
      <c r="DT17" s="603"/>
      <c r="DU17" s="603"/>
      <c r="DV17" s="603"/>
      <c r="DW17" s="603"/>
      <c r="DX17" s="603"/>
      <c r="DY17" s="603"/>
      <c r="DZ17" s="603"/>
      <c r="EA17" s="603"/>
      <c r="EB17" s="603"/>
      <c r="EC17" s="603"/>
      <c r="ED17" s="603"/>
      <c r="EE17" s="603"/>
      <c r="EF17" s="603"/>
      <c r="EG17" s="603"/>
      <c r="EH17" s="603"/>
      <c r="EI17" s="603"/>
      <c r="EJ17" s="603"/>
      <c r="EK17" s="603"/>
      <c r="EL17" s="603"/>
      <c r="EM17" s="603"/>
      <c r="EN17" s="603"/>
      <c r="EO17" s="603"/>
      <c r="EP17" s="603"/>
      <c r="EQ17" s="603"/>
      <c r="ER17" s="603"/>
      <c r="ES17" s="603"/>
      <c r="ET17" s="603"/>
      <c r="EU17" s="603"/>
      <c r="EV17" s="603"/>
    </row>
    <row r="18" spans="1:152" s="605" customFormat="1" ht="20.100000000000001" customHeight="1">
      <c r="A18" s="635" t="s">
        <v>27</v>
      </c>
      <c r="B18" s="627">
        <f>'예산세출(상담)'!Q8</f>
        <v>224951000</v>
      </c>
      <c r="C18" s="636">
        <f t="shared" si="3"/>
        <v>2.5803424091699421E-2</v>
      </c>
      <c r="D18" s="627">
        <f>'예산세출(상담)'!R8</f>
        <v>184510000</v>
      </c>
      <c r="E18" s="626">
        <f t="shared" si="0"/>
        <v>3.1674008515640707E-2</v>
      </c>
      <c r="F18" s="627">
        <f t="shared" si="1"/>
        <v>40441000</v>
      </c>
      <c r="G18" s="637">
        <f t="shared" si="2"/>
        <v>0.21918053222047584</v>
      </c>
      <c r="H18" s="602"/>
      <c r="I18" s="602"/>
      <c r="J18" s="602"/>
      <c r="K18" s="602"/>
      <c r="L18" s="629" t="s">
        <v>2138</v>
      </c>
      <c r="M18" s="639">
        <f>SUMIFS($B$10:$B$100,$A$10:$A$100,"고양시청소년상담복지센터")</f>
        <v>343577000</v>
      </c>
      <c r="N18" s="631">
        <f>SUMIF($A$10:$A$100,"고양시청소년상담복지센터",$D$10:$D$100)</f>
        <v>252040000</v>
      </c>
      <c r="O18" s="603"/>
      <c r="P18" s="603"/>
      <c r="Q18" s="603"/>
      <c r="R18" s="603"/>
      <c r="S18" s="603"/>
      <c r="T18" s="634" t="s">
        <v>1627</v>
      </c>
      <c r="U18" s="634">
        <v>343577000</v>
      </c>
      <c r="V18" s="634">
        <v>252040000</v>
      </c>
      <c r="W18" s="603"/>
      <c r="X18" s="603"/>
      <c r="Y18" s="603"/>
      <c r="Z18" s="603"/>
      <c r="AA18" s="603"/>
      <c r="AB18" s="603"/>
      <c r="AC18" s="603"/>
      <c r="AD18" s="603"/>
      <c r="AE18" s="603"/>
      <c r="AF18" s="603"/>
      <c r="AG18" s="603"/>
      <c r="AH18" s="603"/>
      <c r="AI18" s="603"/>
      <c r="AJ18" s="603"/>
      <c r="AK18" s="603"/>
      <c r="AL18" s="603"/>
      <c r="AM18" s="603"/>
      <c r="AN18" s="603"/>
      <c r="AO18" s="603"/>
      <c r="AP18" s="603"/>
      <c r="AQ18" s="603"/>
      <c r="AR18" s="603"/>
      <c r="AS18" s="603"/>
      <c r="AT18" s="603"/>
      <c r="AU18" s="603"/>
      <c r="AV18" s="603"/>
      <c r="AW18" s="603"/>
      <c r="AX18" s="603"/>
      <c r="AY18" s="603"/>
      <c r="AZ18" s="603"/>
      <c r="BA18" s="603"/>
      <c r="BB18" s="603"/>
      <c r="BC18" s="603"/>
      <c r="BD18" s="603"/>
      <c r="BE18" s="603"/>
      <c r="BF18" s="603"/>
      <c r="BG18" s="603"/>
      <c r="BH18" s="603"/>
      <c r="BI18" s="603"/>
      <c r="BJ18" s="603"/>
      <c r="BK18" s="603"/>
      <c r="BL18" s="603"/>
      <c r="BM18" s="603"/>
      <c r="BN18" s="603"/>
      <c r="BO18" s="603"/>
      <c r="BP18" s="603"/>
      <c r="BQ18" s="603"/>
      <c r="BR18" s="603"/>
      <c r="BS18" s="603"/>
      <c r="BT18" s="603"/>
      <c r="BU18" s="603"/>
      <c r="BV18" s="603"/>
      <c r="BW18" s="603"/>
      <c r="BX18" s="603"/>
      <c r="BY18" s="603"/>
      <c r="BZ18" s="603"/>
      <c r="CA18" s="603"/>
      <c r="CB18" s="603"/>
      <c r="CC18" s="603"/>
      <c r="CD18" s="603"/>
      <c r="CE18" s="603"/>
      <c r="CF18" s="603"/>
      <c r="CG18" s="603"/>
      <c r="CH18" s="603"/>
      <c r="CI18" s="603"/>
      <c r="CJ18" s="603"/>
      <c r="CK18" s="603"/>
      <c r="CL18" s="603"/>
      <c r="CM18" s="603"/>
      <c r="CN18" s="603"/>
      <c r="CO18" s="603"/>
      <c r="CP18" s="603"/>
      <c r="CQ18" s="603"/>
      <c r="CR18" s="603"/>
      <c r="CS18" s="603"/>
      <c r="CT18" s="603"/>
      <c r="CU18" s="603"/>
      <c r="CV18" s="603"/>
      <c r="CW18" s="603"/>
      <c r="CX18" s="603"/>
      <c r="CY18" s="603"/>
      <c r="CZ18" s="603"/>
      <c r="DA18" s="603"/>
      <c r="DB18" s="603"/>
      <c r="DC18" s="603"/>
      <c r="DD18" s="603"/>
      <c r="DE18" s="603"/>
      <c r="DF18" s="603"/>
      <c r="DG18" s="603"/>
      <c r="DH18" s="603"/>
      <c r="DI18" s="603"/>
      <c r="DJ18" s="603"/>
      <c r="DK18" s="603"/>
      <c r="DL18" s="603"/>
      <c r="DM18" s="603"/>
      <c r="DN18" s="603"/>
      <c r="DO18" s="603"/>
      <c r="DP18" s="603"/>
      <c r="DQ18" s="603"/>
      <c r="DR18" s="603"/>
      <c r="DS18" s="603"/>
      <c r="DT18" s="603"/>
      <c r="DU18" s="603"/>
      <c r="DV18" s="603"/>
      <c r="DW18" s="603"/>
      <c r="DX18" s="603"/>
      <c r="DY18" s="603"/>
      <c r="DZ18" s="603"/>
      <c r="EA18" s="603"/>
      <c r="EB18" s="603"/>
      <c r="EC18" s="603"/>
      <c r="ED18" s="603"/>
      <c r="EE18" s="603"/>
      <c r="EF18" s="603"/>
      <c r="EG18" s="603"/>
      <c r="EH18" s="603"/>
      <c r="EI18" s="603"/>
      <c r="EJ18" s="603"/>
      <c r="EK18" s="603"/>
      <c r="EL18" s="603"/>
      <c r="EM18" s="603"/>
      <c r="EN18" s="603"/>
      <c r="EO18" s="603"/>
      <c r="EP18" s="603"/>
      <c r="EQ18" s="603"/>
      <c r="ER18" s="603"/>
      <c r="ES18" s="603"/>
      <c r="ET18" s="603"/>
      <c r="EU18" s="603"/>
      <c r="EV18" s="603"/>
    </row>
    <row r="19" spans="1:152" s="605" customFormat="1" ht="20.100000000000001" customHeight="1">
      <c r="A19" s="635" t="s">
        <v>36</v>
      </c>
      <c r="B19" s="627">
        <f>'예산세출(화정)'!O8</f>
        <v>63200000</v>
      </c>
      <c r="C19" s="636">
        <f t="shared" si="3"/>
        <v>7.2494738969615755E-3</v>
      </c>
      <c r="D19" s="627">
        <f>'예산세출(화정)'!P8</f>
        <v>42000000</v>
      </c>
      <c r="E19" s="626">
        <f t="shared" si="0"/>
        <v>7.209952618594708E-3</v>
      </c>
      <c r="F19" s="627">
        <f t="shared" si="1"/>
        <v>21200000</v>
      </c>
      <c r="G19" s="637">
        <f t="shared" si="2"/>
        <v>0.50476190476190474</v>
      </c>
      <c r="H19" s="602"/>
      <c r="I19" s="602"/>
      <c r="J19" s="602"/>
      <c r="K19" s="602"/>
      <c r="L19" s="638" t="s">
        <v>2139</v>
      </c>
      <c r="M19" s="639">
        <f>SUMIFS($B$10:$B$100,$A$10:$A$100,"화정청소년카페")</f>
        <v>155514000</v>
      </c>
      <c r="N19" s="631">
        <f>SUMIF($A$10:$A$100,"화정청소년카페",$D$10:$D$100)</f>
        <v>114345000</v>
      </c>
      <c r="O19" s="603"/>
      <c r="P19" s="603"/>
      <c r="Q19" s="603"/>
      <c r="R19" s="603"/>
      <c r="S19" s="603"/>
      <c r="T19" s="634" t="s">
        <v>1628</v>
      </c>
      <c r="U19" s="634">
        <v>155514000</v>
      </c>
      <c r="V19" s="634">
        <v>114345000</v>
      </c>
      <c r="W19" s="603"/>
      <c r="X19" s="603"/>
      <c r="Y19" s="603"/>
      <c r="Z19" s="603"/>
      <c r="AA19" s="603"/>
      <c r="AB19" s="603"/>
      <c r="AC19" s="603"/>
      <c r="AD19" s="603"/>
      <c r="AE19" s="603"/>
      <c r="AF19" s="603"/>
      <c r="AG19" s="603"/>
      <c r="AH19" s="603"/>
      <c r="AI19" s="603"/>
      <c r="AJ19" s="603"/>
      <c r="AK19" s="603"/>
      <c r="AL19" s="603"/>
      <c r="AM19" s="603"/>
      <c r="AN19" s="603"/>
      <c r="AO19" s="603"/>
      <c r="AP19" s="603"/>
      <c r="AQ19" s="603"/>
      <c r="AR19" s="603"/>
      <c r="AS19" s="603"/>
      <c r="AT19" s="603"/>
      <c r="AU19" s="603"/>
      <c r="AV19" s="603"/>
      <c r="AW19" s="603"/>
      <c r="AX19" s="603"/>
      <c r="AY19" s="603"/>
      <c r="AZ19" s="603"/>
      <c r="BA19" s="603"/>
      <c r="BB19" s="603"/>
      <c r="BC19" s="603"/>
      <c r="BD19" s="603"/>
      <c r="BE19" s="603"/>
      <c r="BF19" s="603"/>
      <c r="BG19" s="603"/>
      <c r="BH19" s="603"/>
      <c r="BI19" s="603"/>
      <c r="BJ19" s="603"/>
      <c r="BK19" s="603"/>
      <c r="BL19" s="603"/>
      <c r="BM19" s="603"/>
      <c r="BN19" s="603"/>
      <c r="BO19" s="603"/>
      <c r="BP19" s="603"/>
      <c r="BQ19" s="603"/>
      <c r="BR19" s="603"/>
      <c r="BS19" s="603"/>
      <c r="BT19" s="603"/>
      <c r="BU19" s="603"/>
      <c r="BV19" s="603"/>
      <c r="BW19" s="603"/>
      <c r="BX19" s="603"/>
      <c r="BY19" s="603"/>
      <c r="BZ19" s="603"/>
      <c r="CA19" s="603"/>
      <c r="CB19" s="603"/>
      <c r="CC19" s="603"/>
      <c r="CD19" s="603"/>
      <c r="CE19" s="603"/>
      <c r="CF19" s="603"/>
      <c r="CG19" s="603"/>
      <c r="CH19" s="603"/>
      <c r="CI19" s="603"/>
      <c r="CJ19" s="603"/>
      <c r="CK19" s="603"/>
      <c r="CL19" s="603"/>
      <c r="CM19" s="603"/>
      <c r="CN19" s="603"/>
      <c r="CO19" s="603"/>
      <c r="CP19" s="603"/>
      <c r="CQ19" s="603"/>
      <c r="CR19" s="603"/>
      <c r="CS19" s="603"/>
      <c r="CT19" s="603"/>
      <c r="CU19" s="603"/>
      <c r="CV19" s="603"/>
      <c r="CW19" s="603"/>
      <c r="CX19" s="603"/>
      <c r="CY19" s="603"/>
      <c r="CZ19" s="603"/>
      <c r="DA19" s="603"/>
      <c r="DB19" s="603"/>
      <c r="DC19" s="603"/>
      <c r="DD19" s="603"/>
      <c r="DE19" s="603"/>
      <c r="DF19" s="603"/>
      <c r="DG19" s="603"/>
      <c r="DH19" s="603"/>
      <c r="DI19" s="603"/>
      <c r="DJ19" s="603"/>
      <c r="DK19" s="603"/>
      <c r="DL19" s="603"/>
      <c r="DM19" s="603"/>
      <c r="DN19" s="603"/>
      <c r="DO19" s="603"/>
      <c r="DP19" s="603"/>
      <c r="DQ19" s="603"/>
      <c r="DR19" s="603"/>
      <c r="DS19" s="603"/>
      <c r="DT19" s="603"/>
      <c r="DU19" s="603"/>
      <c r="DV19" s="603"/>
      <c r="DW19" s="603"/>
      <c r="DX19" s="603"/>
      <c r="DY19" s="603"/>
      <c r="DZ19" s="603"/>
      <c r="EA19" s="603"/>
      <c r="EB19" s="603"/>
      <c r="EC19" s="603"/>
      <c r="ED19" s="603"/>
      <c r="EE19" s="603"/>
      <c r="EF19" s="603"/>
      <c r="EG19" s="603"/>
      <c r="EH19" s="603"/>
      <c r="EI19" s="603"/>
      <c r="EJ19" s="603"/>
      <c r="EK19" s="603"/>
      <c r="EL19" s="603"/>
      <c r="EM19" s="603"/>
      <c r="EN19" s="603"/>
      <c r="EO19" s="603"/>
      <c r="EP19" s="603"/>
      <c r="EQ19" s="603"/>
      <c r="ER19" s="603"/>
      <c r="ES19" s="603"/>
      <c r="ET19" s="603"/>
      <c r="EU19" s="603"/>
      <c r="EV19" s="603"/>
    </row>
    <row r="20" spans="1:152" s="605" customFormat="1" ht="20.100000000000001" customHeight="1">
      <c r="A20" s="635" t="s">
        <v>2515</v>
      </c>
      <c r="B20" s="627">
        <f>'예산세출(백마)'!Q8</f>
        <v>44880000</v>
      </c>
      <c r="C20" s="636">
        <f t="shared" si="3"/>
        <v>5.1480441217663844E-3</v>
      </c>
      <c r="D20" s="627">
        <f>'예산세출(백마)'!R8</f>
        <v>38380000</v>
      </c>
      <c r="E20" s="626">
        <f t="shared" si="0"/>
        <v>6.5885233690872597E-3</v>
      </c>
      <c r="F20" s="627">
        <f t="shared" si="1"/>
        <v>6500000</v>
      </c>
      <c r="G20" s="637">
        <f t="shared" si="2"/>
        <v>0.16935904116727463</v>
      </c>
      <c r="H20" s="602"/>
      <c r="I20" s="602"/>
      <c r="J20" s="602"/>
      <c r="K20" s="602"/>
      <c r="L20" s="629" t="s">
        <v>2515</v>
      </c>
      <c r="M20" s="639">
        <f>SUMIFS($B$10:$B$100,$A$10:$A$100,"백마역청소년카페")</f>
        <v>85429000</v>
      </c>
      <c r="N20" s="631">
        <f>SUMIF($A$10:$A$100,"백마역청소년카페",$D$10:$D$100)</f>
        <v>73750000</v>
      </c>
      <c r="O20" s="603"/>
      <c r="P20" s="603"/>
      <c r="Q20" s="603"/>
      <c r="R20" s="603"/>
      <c r="S20" s="603"/>
      <c r="T20" s="634" t="s">
        <v>2515</v>
      </c>
      <c r="U20" s="634">
        <v>85429000</v>
      </c>
      <c r="V20" s="634">
        <v>73750000</v>
      </c>
      <c r="W20" s="603"/>
      <c r="X20" s="603"/>
      <c r="Y20" s="603"/>
      <c r="Z20" s="603"/>
      <c r="AA20" s="603"/>
      <c r="AB20" s="603"/>
      <c r="AC20" s="603"/>
      <c r="AD20" s="603"/>
      <c r="AE20" s="603"/>
      <c r="AF20" s="603"/>
      <c r="AG20" s="603"/>
      <c r="AH20" s="603"/>
      <c r="AI20" s="603"/>
      <c r="AJ20" s="603"/>
      <c r="AK20" s="603"/>
      <c r="AL20" s="603"/>
      <c r="AM20" s="603"/>
      <c r="AN20" s="603"/>
      <c r="AO20" s="603"/>
      <c r="AP20" s="603"/>
      <c r="AQ20" s="603"/>
      <c r="AR20" s="603"/>
      <c r="AS20" s="603"/>
      <c r="AT20" s="603"/>
      <c r="AU20" s="603"/>
      <c r="AV20" s="603"/>
      <c r="AW20" s="603"/>
      <c r="AX20" s="603"/>
      <c r="AY20" s="603"/>
      <c r="AZ20" s="603"/>
      <c r="BA20" s="603"/>
      <c r="BB20" s="603"/>
      <c r="BC20" s="603"/>
      <c r="BD20" s="603"/>
      <c r="BE20" s="603"/>
      <c r="BF20" s="603"/>
      <c r="BG20" s="603"/>
      <c r="BH20" s="603"/>
      <c r="BI20" s="603"/>
      <c r="BJ20" s="603"/>
      <c r="BK20" s="603"/>
      <c r="BL20" s="603"/>
      <c r="BM20" s="603"/>
      <c r="BN20" s="603"/>
      <c r="BO20" s="603"/>
      <c r="BP20" s="603"/>
      <c r="BQ20" s="603"/>
      <c r="BR20" s="603"/>
      <c r="BS20" s="603"/>
      <c r="BT20" s="603"/>
      <c r="BU20" s="603"/>
      <c r="BV20" s="603"/>
      <c r="BW20" s="603"/>
      <c r="BX20" s="603"/>
      <c r="BY20" s="603"/>
      <c r="BZ20" s="603"/>
      <c r="CA20" s="603"/>
      <c r="CB20" s="603"/>
      <c r="CC20" s="603"/>
      <c r="CD20" s="603"/>
      <c r="CE20" s="603"/>
      <c r="CF20" s="603"/>
      <c r="CG20" s="603"/>
      <c r="CH20" s="603"/>
      <c r="CI20" s="603"/>
      <c r="CJ20" s="603"/>
      <c r="CK20" s="603"/>
      <c r="CL20" s="603"/>
      <c r="CM20" s="603"/>
      <c r="CN20" s="603"/>
      <c r="CO20" s="603"/>
      <c r="CP20" s="603"/>
      <c r="CQ20" s="603"/>
      <c r="CR20" s="603"/>
      <c r="CS20" s="603"/>
      <c r="CT20" s="603"/>
      <c r="CU20" s="603"/>
      <c r="CV20" s="603"/>
      <c r="CW20" s="603"/>
      <c r="CX20" s="603"/>
      <c r="CY20" s="603"/>
      <c r="CZ20" s="603"/>
      <c r="DA20" s="603"/>
      <c r="DB20" s="603"/>
      <c r="DC20" s="603"/>
      <c r="DD20" s="603"/>
      <c r="DE20" s="603"/>
      <c r="DF20" s="603"/>
      <c r="DG20" s="603"/>
      <c r="DH20" s="603"/>
      <c r="DI20" s="603"/>
      <c r="DJ20" s="603"/>
      <c r="DK20" s="603"/>
      <c r="DL20" s="603"/>
      <c r="DM20" s="603"/>
      <c r="DN20" s="603"/>
      <c r="DO20" s="603"/>
      <c r="DP20" s="603"/>
      <c r="DQ20" s="603"/>
      <c r="DR20" s="603"/>
      <c r="DS20" s="603"/>
      <c r="DT20" s="603"/>
      <c r="DU20" s="603"/>
      <c r="DV20" s="603"/>
      <c r="DW20" s="603"/>
      <c r="DX20" s="603"/>
      <c r="DY20" s="603"/>
      <c r="DZ20" s="603"/>
      <c r="EA20" s="603"/>
      <c r="EB20" s="603"/>
      <c r="EC20" s="603"/>
      <c r="ED20" s="603"/>
      <c r="EE20" s="603"/>
      <c r="EF20" s="603"/>
      <c r="EG20" s="603"/>
      <c r="EH20" s="603"/>
      <c r="EI20" s="603"/>
      <c r="EJ20" s="603"/>
      <c r="EK20" s="603"/>
      <c r="EL20" s="603"/>
      <c r="EM20" s="603"/>
      <c r="EN20" s="603"/>
      <c r="EO20" s="603"/>
      <c r="EP20" s="603"/>
      <c r="EQ20" s="603"/>
      <c r="ER20" s="603"/>
      <c r="ES20" s="603"/>
      <c r="ET20" s="603"/>
      <c r="EU20" s="603"/>
      <c r="EV20" s="603"/>
    </row>
    <row r="21" spans="1:152" s="605" customFormat="1" ht="20.100000000000001" customHeight="1">
      <c r="A21" s="642" t="s">
        <v>2516</v>
      </c>
      <c r="B21" s="643">
        <f>'예산세출(능곡)'!Q8</f>
        <v>37200000</v>
      </c>
      <c r="C21" s="644">
        <f t="shared" si="3"/>
        <v>4.2670953950470032E-3</v>
      </c>
      <c r="D21" s="643">
        <f>'예산세출(능곡)'!R8</f>
        <v>25200000</v>
      </c>
      <c r="E21" s="626">
        <f t="shared" si="0"/>
        <v>4.3259715711568246E-3</v>
      </c>
      <c r="F21" s="627">
        <f t="shared" si="1"/>
        <v>12000000</v>
      </c>
      <c r="G21" s="645">
        <f t="shared" si="2"/>
        <v>0.47619047619047616</v>
      </c>
      <c r="H21" s="602"/>
      <c r="I21" s="602"/>
      <c r="J21" s="602"/>
      <c r="K21" s="602"/>
      <c r="L21" s="638" t="s">
        <v>2516</v>
      </c>
      <c r="M21" s="639">
        <f>SUMIFS($B$10:$B$100,$A$10:$A$100,"능곡역청소년카페")</f>
        <v>69776000</v>
      </c>
      <c r="N21" s="631">
        <f>SUMIF($A$10:$A$100,"능곡역청소년카페",$D$10:$D$100)</f>
        <v>52500000</v>
      </c>
      <c r="O21" s="603"/>
      <c r="P21" s="603"/>
      <c r="Q21" s="603"/>
      <c r="R21" s="603"/>
      <c r="S21" s="603"/>
      <c r="T21" s="634" t="s">
        <v>2516</v>
      </c>
      <c r="U21" s="634">
        <v>69776000</v>
      </c>
      <c r="V21" s="634">
        <v>52500000</v>
      </c>
      <c r="W21" s="603"/>
      <c r="X21" s="603"/>
      <c r="Y21" s="603"/>
      <c r="Z21" s="603"/>
      <c r="AA21" s="603"/>
      <c r="AB21" s="603"/>
      <c r="AC21" s="603"/>
      <c r="AD21" s="603"/>
      <c r="AE21" s="603"/>
      <c r="AF21" s="603"/>
      <c r="AG21" s="603"/>
      <c r="AH21" s="603"/>
      <c r="AI21" s="603"/>
      <c r="AJ21" s="603"/>
      <c r="AK21" s="603"/>
      <c r="AL21" s="603"/>
      <c r="AM21" s="603"/>
      <c r="AN21" s="603"/>
      <c r="AO21" s="603"/>
      <c r="AP21" s="603"/>
      <c r="AQ21" s="603"/>
      <c r="AR21" s="603"/>
      <c r="AS21" s="603"/>
      <c r="AT21" s="603"/>
      <c r="AU21" s="603"/>
      <c r="AV21" s="603"/>
      <c r="AW21" s="603"/>
      <c r="AX21" s="603"/>
      <c r="AY21" s="603"/>
      <c r="AZ21" s="603"/>
      <c r="BA21" s="603"/>
      <c r="BB21" s="603"/>
      <c r="BC21" s="603"/>
      <c r="BD21" s="603"/>
      <c r="BE21" s="603"/>
      <c r="BF21" s="603"/>
      <c r="BG21" s="603"/>
      <c r="BH21" s="603"/>
      <c r="BI21" s="603"/>
      <c r="BJ21" s="603"/>
      <c r="BK21" s="603"/>
      <c r="BL21" s="603"/>
      <c r="BM21" s="603"/>
      <c r="BN21" s="603"/>
      <c r="BO21" s="603"/>
      <c r="BP21" s="603"/>
      <c r="BQ21" s="603"/>
      <c r="BR21" s="603"/>
      <c r="BS21" s="603"/>
      <c r="BT21" s="603"/>
      <c r="BU21" s="603"/>
      <c r="BV21" s="603"/>
      <c r="BW21" s="603"/>
      <c r="BX21" s="603"/>
      <c r="BY21" s="603"/>
      <c r="BZ21" s="603"/>
      <c r="CA21" s="603"/>
      <c r="CB21" s="603"/>
      <c r="CC21" s="603"/>
      <c r="CD21" s="603"/>
      <c r="CE21" s="603"/>
      <c r="CF21" s="603"/>
      <c r="CG21" s="603"/>
      <c r="CH21" s="603"/>
      <c r="CI21" s="603"/>
      <c r="CJ21" s="603"/>
      <c r="CK21" s="603"/>
      <c r="CL21" s="603"/>
      <c r="CM21" s="603"/>
      <c r="CN21" s="603"/>
      <c r="CO21" s="603"/>
      <c r="CP21" s="603"/>
      <c r="CQ21" s="603"/>
      <c r="CR21" s="603"/>
      <c r="CS21" s="603"/>
      <c r="CT21" s="603"/>
      <c r="CU21" s="603"/>
      <c r="CV21" s="603"/>
      <c r="CW21" s="603"/>
      <c r="CX21" s="603"/>
      <c r="CY21" s="603"/>
      <c r="CZ21" s="603"/>
      <c r="DA21" s="603"/>
      <c r="DB21" s="603"/>
      <c r="DC21" s="603"/>
      <c r="DD21" s="603"/>
      <c r="DE21" s="603"/>
      <c r="DF21" s="603"/>
      <c r="DG21" s="603"/>
      <c r="DH21" s="603"/>
      <c r="DI21" s="603"/>
      <c r="DJ21" s="603"/>
      <c r="DK21" s="603"/>
      <c r="DL21" s="603"/>
      <c r="DM21" s="603"/>
      <c r="DN21" s="603"/>
      <c r="DO21" s="603"/>
      <c r="DP21" s="603"/>
      <c r="DQ21" s="603"/>
      <c r="DR21" s="603"/>
      <c r="DS21" s="603"/>
      <c r="DT21" s="603"/>
      <c r="DU21" s="603"/>
      <c r="DV21" s="603"/>
      <c r="DW21" s="603"/>
      <c r="DX21" s="603"/>
      <c r="DY21" s="603"/>
      <c r="DZ21" s="603"/>
      <c r="EA21" s="603"/>
      <c r="EB21" s="603"/>
      <c r="EC21" s="603"/>
      <c r="ED21" s="603"/>
      <c r="EE21" s="603"/>
      <c r="EF21" s="603"/>
      <c r="EG21" s="603"/>
      <c r="EH21" s="603"/>
      <c r="EI21" s="603"/>
      <c r="EJ21" s="603"/>
      <c r="EK21" s="603"/>
      <c r="EL21" s="603"/>
      <c r="EM21" s="603"/>
      <c r="EN21" s="603"/>
      <c r="EO21" s="603"/>
      <c r="EP21" s="603"/>
      <c r="EQ21" s="603"/>
      <c r="ER21" s="603"/>
      <c r="ES21" s="603"/>
      <c r="ET21" s="603"/>
      <c r="EU21" s="603"/>
      <c r="EV21" s="603"/>
    </row>
    <row r="22" spans="1:152" s="605" customFormat="1" ht="20.100000000000001" customHeight="1">
      <c r="A22" s="646" t="s">
        <v>59</v>
      </c>
      <c r="B22" s="647">
        <f>SUM(B23:B34)</f>
        <v>1303908000</v>
      </c>
      <c r="C22" s="648">
        <f>B22/$B$7</f>
        <v>0.14956719952593947</v>
      </c>
      <c r="D22" s="647">
        <f>SUM(D23:D34)</f>
        <v>912749000</v>
      </c>
      <c r="E22" s="648">
        <f>+D22/$D$7</f>
        <v>0.15668754863499287</v>
      </c>
      <c r="F22" s="647">
        <f>SUM(F23:F34)</f>
        <v>391159000</v>
      </c>
      <c r="G22" s="649">
        <f t="shared" si="2"/>
        <v>0.42855045582082257</v>
      </c>
      <c r="H22" s="650"/>
      <c r="I22" s="650"/>
      <c r="J22" s="650"/>
      <c r="K22" s="650"/>
      <c r="L22" s="603"/>
      <c r="M22" s="604">
        <f>SUM(M10:M21)</f>
        <v>8717874000</v>
      </c>
      <c r="N22" s="604">
        <f>SUM(N10:N21)</f>
        <v>5825281000</v>
      </c>
      <c r="O22" s="603"/>
      <c r="P22" s="603"/>
      <c r="Q22" s="603"/>
      <c r="R22" s="603"/>
      <c r="S22" s="603"/>
      <c r="T22" s="604"/>
      <c r="U22" s="604">
        <f>SUM(U10:U21)</f>
        <v>8717874000</v>
      </c>
      <c r="V22" s="651">
        <f>SUM(V10:V21)</f>
        <v>5825281000</v>
      </c>
      <c r="W22" s="604"/>
      <c r="X22" s="603"/>
      <c r="Y22" s="603"/>
      <c r="Z22" s="603"/>
      <c r="AA22" s="603"/>
      <c r="AB22" s="603"/>
      <c r="AC22" s="603"/>
      <c r="AD22" s="603"/>
      <c r="AE22" s="603"/>
      <c r="AF22" s="603"/>
      <c r="AG22" s="603"/>
      <c r="AH22" s="603"/>
      <c r="AI22" s="603"/>
      <c r="AJ22" s="603"/>
      <c r="AK22" s="603"/>
      <c r="AL22" s="603"/>
      <c r="AM22" s="603"/>
      <c r="AN22" s="603"/>
      <c r="AO22" s="603"/>
      <c r="AP22" s="603"/>
      <c r="AQ22" s="603"/>
      <c r="AR22" s="603"/>
      <c r="AS22" s="603"/>
      <c r="AT22" s="603"/>
      <c r="AU22" s="603"/>
      <c r="AV22" s="603"/>
      <c r="AW22" s="603"/>
      <c r="AX22" s="603"/>
      <c r="AY22" s="603"/>
      <c r="AZ22" s="603"/>
      <c r="BA22" s="603"/>
      <c r="BB22" s="603"/>
      <c r="BC22" s="603"/>
      <c r="BD22" s="603"/>
      <c r="BE22" s="603"/>
      <c r="BF22" s="603"/>
      <c r="BG22" s="603"/>
      <c r="BH22" s="603"/>
      <c r="BI22" s="603"/>
      <c r="BJ22" s="603"/>
      <c r="BK22" s="603"/>
      <c r="BL22" s="603"/>
      <c r="BM22" s="603"/>
      <c r="BN22" s="603"/>
      <c r="BO22" s="603"/>
      <c r="BP22" s="603"/>
      <c r="BQ22" s="603"/>
      <c r="BR22" s="603"/>
      <c r="BS22" s="603"/>
      <c r="BT22" s="603"/>
      <c r="BU22" s="603"/>
      <c r="BV22" s="603"/>
      <c r="BW22" s="603"/>
      <c r="BX22" s="603"/>
      <c r="BY22" s="603"/>
      <c r="BZ22" s="603"/>
      <c r="CA22" s="603"/>
      <c r="CB22" s="603"/>
      <c r="CC22" s="603"/>
      <c r="CD22" s="603"/>
      <c r="CE22" s="603"/>
      <c r="CF22" s="603"/>
      <c r="CG22" s="603"/>
      <c r="CH22" s="603"/>
      <c r="CI22" s="603"/>
      <c r="CJ22" s="603"/>
      <c r="CK22" s="603"/>
      <c r="CL22" s="603"/>
      <c r="CM22" s="603"/>
      <c r="CN22" s="603"/>
      <c r="CO22" s="603"/>
      <c r="CP22" s="603"/>
      <c r="CQ22" s="603"/>
      <c r="CR22" s="603"/>
      <c r="CS22" s="603"/>
      <c r="CT22" s="603"/>
      <c r="CU22" s="603"/>
      <c r="CV22" s="603"/>
      <c r="CW22" s="603"/>
      <c r="CX22" s="603"/>
      <c r="CY22" s="603"/>
      <c r="CZ22" s="603"/>
      <c r="DA22" s="603"/>
      <c r="DB22" s="603"/>
      <c r="DC22" s="603"/>
      <c r="DD22" s="603"/>
      <c r="DE22" s="603"/>
      <c r="DF22" s="603"/>
      <c r="DG22" s="603"/>
      <c r="DH22" s="603"/>
      <c r="DI22" s="603"/>
      <c r="DJ22" s="603"/>
      <c r="DK22" s="603"/>
      <c r="DL22" s="603"/>
      <c r="DM22" s="603"/>
      <c r="DN22" s="603"/>
      <c r="DO22" s="603"/>
      <c r="DP22" s="603"/>
      <c r="DQ22" s="603"/>
      <c r="DR22" s="603"/>
      <c r="DS22" s="603"/>
      <c r="DT22" s="603"/>
      <c r="DU22" s="603"/>
      <c r="DV22" s="603"/>
      <c r="DW22" s="603"/>
      <c r="DX22" s="603"/>
      <c r="DY22" s="603"/>
      <c r="DZ22" s="603"/>
      <c r="EA22" s="603"/>
      <c r="EB22" s="603"/>
      <c r="EC22" s="603"/>
      <c r="ED22" s="603"/>
      <c r="EE22" s="603"/>
      <c r="EF22" s="603"/>
      <c r="EG22" s="603"/>
      <c r="EH22" s="603"/>
      <c r="EI22" s="603"/>
      <c r="EJ22" s="603"/>
      <c r="EK22" s="603"/>
      <c r="EL22" s="603"/>
      <c r="EM22" s="603"/>
      <c r="EN22" s="603"/>
      <c r="EO22" s="603"/>
      <c r="EP22" s="603"/>
      <c r="EQ22" s="603"/>
      <c r="ER22" s="603"/>
      <c r="ES22" s="603"/>
      <c r="ET22" s="603"/>
      <c r="EU22" s="603"/>
      <c r="EV22" s="603"/>
    </row>
    <row r="23" spans="1:152" s="605" customFormat="1" ht="20.100000000000001" customHeight="1">
      <c r="A23" s="652" t="s">
        <v>21</v>
      </c>
      <c r="B23" s="653">
        <f>'예산세출(사무국)'!Q51</f>
        <v>247458000</v>
      </c>
      <c r="C23" s="654">
        <f>+B23/$B$7</f>
        <v>2.8385131512568315E-2</v>
      </c>
      <c r="D23" s="653">
        <f>'예산세출(사무국)'!R51</f>
        <v>251533000</v>
      </c>
      <c r="E23" s="654">
        <f>+D23/$D$7</f>
        <v>4.3179547905071017E-2</v>
      </c>
      <c r="F23" s="655">
        <f>+B23-D23</f>
        <v>-4075000</v>
      </c>
      <c r="G23" s="656">
        <f t="shared" si="2"/>
        <v>-1.6200657567794284E-2</v>
      </c>
      <c r="H23" s="602"/>
      <c r="I23" s="602"/>
      <c r="J23" s="602"/>
      <c r="K23" s="602"/>
      <c r="L23" s="603"/>
      <c r="M23" s="603"/>
      <c r="N23" s="603"/>
      <c r="O23" s="603"/>
      <c r="P23" s="603"/>
      <c r="Q23" s="603"/>
      <c r="R23" s="604">
        <f>B22+B47+B53+B55</f>
        <v>1793605000</v>
      </c>
      <c r="S23" s="603"/>
      <c r="T23" s="603"/>
      <c r="U23" s="603"/>
      <c r="V23" s="603"/>
      <c r="W23" s="603"/>
      <c r="X23" s="603"/>
      <c r="Y23" s="603"/>
      <c r="Z23" s="603"/>
      <c r="AA23" s="603"/>
      <c r="AB23" s="603"/>
      <c r="AC23" s="603"/>
      <c r="AD23" s="603"/>
      <c r="AE23" s="603"/>
      <c r="AF23" s="603"/>
      <c r="AG23" s="603"/>
      <c r="AH23" s="603"/>
      <c r="AI23" s="603"/>
      <c r="AJ23" s="603"/>
      <c r="AK23" s="603"/>
      <c r="AL23" s="603"/>
      <c r="AM23" s="603"/>
      <c r="AN23" s="603"/>
      <c r="AO23" s="603"/>
      <c r="AP23" s="603"/>
      <c r="AQ23" s="603"/>
      <c r="AR23" s="603"/>
      <c r="AS23" s="603"/>
      <c r="AT23" s="603"/>
      <c r="AU23" s="603"/>
      <c r="AV23" s="603"/>
      <c r="AW23" s="603"/>
      <c r="AX23" s="603"/>
      <c r="AY23" s="603"/>
      <c r="AZ23" s="603"/>
      <c r="BA23" s="603"/>
      <c r="BB23" s="603"/>
      <c r="BC23" s="603"/>
      <c r="BD23" s="603"/>
      <c r="BE23" s="603"/>
      <c r="BF23" s="603"/>
      <c r="BG23" s="603"/>
      <c r="BH23" s="603"/>
      <c r="BI23" s="603"/>
      <c r="BJ23" s="603"/>
      <c r="BK23" s="603"/>
      <c r="BL23" s="603"/>
      <c r="BM23" s="603"/>
      <c r="BN23" s="603"/>
      <c r="BO23" s="603"/>
      <c r="BP23" s="603"/>
      <c r="BQ23" s="603"/>
      <c r="BR23" s="603"/>
      <c r="BS23" s="603"/>
      <c r="BT23" s="603"/>
      <c r="BU23" s="603"/>
      <c r="BV23" s="603"/>
      <c r="BW23" s="603"/>
      <c r="BX23" s="603"/>
      <c r="BY23" s="603"/>
      <c r="BZ23" s="603"/>
      <c r="CA23" s="603"/>
      <c r="CB23" s="603"/>
      <c r="CC23" s="603"/>
      <c r="CD23" s="603"/>
      <c r="CE23" s="603"/>
      <c r="CF23" s="603"/>
      <c r="CG23" s="603"/>
      <c r="CH23" s="603"/>
      <c r="CI23" s="603"/>
      <c r="CJ23" s="603"/>
      <c r="CK23" s="603"/>
      <c r="CL23" s="603"/>
      <c r="CM23" s="603"/>
      <c r="CN23" s="603"/>
      <c r="CO23" s="603"/>
      <c r="CP23" s="603"/>
      <c r="CQ23" s="603"/>
      <c r="CR23" s="603"/>
      <c r="CS23" s="603"/>
      <c r="CT23" s="603"/>
      <c r="CU23" s="603"/>
      <c r="CV23" s="603"/>
      <c r="CW23" s="603"/>
      <c r="CX23" s="603"/>
      <c r="CY23" s="603"/>
      <c r="CZ23" s="603"/>
      <c r="DA23" s="603"/>
      <c r="DB23" s="603"/>
      <c r="DC23" s="603"/>
      <c r="DD23" s="603"/>
      <c r="DE23" s="603"/>
      <c r="DF23" s="603"/>
      <c r="DG23" s="603"/>
      <c r="DH23" s="603"/>
      <c r="DI23" s="603"/>
      <c r="DJ23" s="603"/>
      <c r="DK23" s="603"/>
      <c r="DL23" s="603"/>
      <c r="DM23" s="603"/>
      <c r="DN23" s="603"/>
      <c r="DO23" s="603"/>
      <c r="DP23" s="603"/>
      <c r="DQ23" s="603"/>
      <c r="DR23" s="603"/>
      <c r="DS23" s="603"/>
      <c r="DT23" s="603"/>
      <c r="DU23" s="603"/>
      <c r="DV23" s="603"/>
      <c r="DW23" s="603"/>
      <c r="DX23" s="603"/>
      <c r="DY23" s="603"/>
      <c r="DZ23" s="603"/>
      <c r="EA23" s="603"/>
      <c r="EB23" s="603"/>
      <c r="EC23" s="603"/>
      <c r="ED23" s="603"/>
      <c r="EE23" s="603"/>
      <c r="EF23" s="603"/>
      <c r="EG23" s="603"/>
      <c r="EH23" s="603"/>
      <c r="EI23" s="603"/>
      <c r="EJ23" s="603"/>
      <c r="EK23" s="603"/>
      <c r="EL23" s="603"/>
      <c r="EM23" s="603"/>
      <c r="EN23" s="603"/>
      <c r="EO23" s="603"/>
      <c r="EP23" s="603"/>
      <c r="EQ23" s="603"/>
      <c r="ER23" s="603"/>
      <c r="ES23" s="603"/>
      <c r="ET23" s="603"/>
      <c r="EU23" s="603"/>
      <c r="EV23" s="603"/>
    </row>
    <row r="24" spans="1:152" s="605" customFormat="1" ht="20.100000000000001" customHeight="1">
      <c r="A24" s="624" t="s">
        <v>22</v>
      </c>
      <c r="B24" s="625">
        <f>'예산세출(마두)'!W50</f>
        <v>274384000</v>
      </c>
      <c r="C24" s="626">
        <f t="shared" si="3"/>
        <v>3.147372857189723E-2</v>
      </c>
      <c r="D24" s="625">
        <f>'예산세출(마두)'!X50</f>
        <v>291029000</v>
      </c>
      <c r="E24" s="626">
        <f t="shared" ref="E24:E100" si="4">+D24/$D$7</f>
        <v>4.9959650015166647E-2</v>
      </c>
      <c r="F24" s="625">
        <f t="shared" ref="F24:F34" si="5">+B24-D24</f>
        <v>-16645000</v>
      </c>
      <c r="G24" s="628">
        <f t="shared" si="2"/>
        <v>-5.7193613007638415E-2</v>
      </c>
      <c r="H24" s="602"/>
      <c r="I24" s="602"/>
      <c r="J24" s="602"/>
      <c r="K24" s="602"/>
      <c r="L24" s="603"/>
      <c r="M24" s="603"/>
      <c r="N24" s="603"/>
      <c r="O24" s="603"/>
      <c r="P24" s="603"/>
      <c r="Q24" s="603"/>
      <c r="R24" s="603"/>
      <c r="S24" s="603"/>
      <c r="T24" s="604"/>
      <c r="U24" s="603"/>
      <c r="V24" s="603"/>
      <c r="W24" s="603"/>
      <c r="X24" s="603"/>
      <c r="Y24" s="603"/>
      <c r="Z24" s="603"/>
      <c r="AA24" s="603"/>
      <c r="AB24" s="603"/>
      <c r="AC24" s="603"/>
      <c r="AD24" s="603"/>
      <c r="AE24" s="603"/>
      <c r="AF24" s="603"/>
      <c r="AG24" s="603"/>
      <c r="AH24" s="603"/>
      <c r="AI24" s="603"/>
      <c r="AJ24" s="603"/>
      <c r="AK24" s="603"/>
      <c r="AL24" s="603"/>
      <c r="AM24" s="603"/>
      <c r="AN24" s="603"/>
      <c r="AO24" s="603"/>
      <c r="AP24" s="603"/>
      <c r="AQ24" s="603"/>
      <c r="AR24" s="603"/>
      <c r="AS24" s="603"/>
      <c r="AT24" s="603"/>
      <c r="AU24" s="603"/>
      <c r="AV24" s="603"/>
      <c r="AW24" s="603"/>
      <c r="AX24" s="603"/>
      <c r="AY24" s="603"/>
      <c r="AZ24" s="603"/>
      <c r="BA24" s="603"/>
      <c r="BB24" s="603"/>
      <c r="BC24" s="603"/>
      <c r="BD24" s="603"/>
      <c r="BE24" s="603"/>
      <c r="BF24" s="603"/>
      <c r="BG24" s="603"/>
      <c r="BH24" s="603"/>
      <c r="BI24" s="603"/>
      <c r="BJ24" s="603"/>
      <c r="BK24" s="603"/>
      <c r="BL24" s="603"/>
      <c r="BM24" s="603"/>
      <c r="BN24" s="603"/>
      <c r="BO24" s="603"/>
      <c r="BP24" s="603"/>
      <c r="BQ24" s="603"/>
      <c r="BR24" s="603"/>
      <c r="BS24" s="603"/>
      <c r="BT24" s="603"/>
      <c r="BU24" s="603"/>
      <c r="BV24" s="603"/>
      <c r="BW24" s="603"/>
      <c r="BX24" s="603"/>
      <c r="BY24" s="603"/>
      <c r="BZ24" s="603"/>
      <c r="CA24" s="603"/>
      <c r="CB24" s="603"/>
      <c r="CC24" s="603"/>
      <c r="CD24" s="603"/>
      <c r="CE24" s="603"/>
      <c r="CF24" s="603"/>
      <c r="CG24" s="603"/>
      <c r="CH24" s="603"/>
      <c r="CI24" s="603"/>
      <c r="CJ24" s="603"/>
      <c r="CK24" s="603"/>
      <c r="CL24" s="603"/>
      <c r="CM24" s="603"/>
      <c r="CN24" s="603"/>
      <c r="CO24" s="603"/>
      <c r="CP24" s="603"/>
      <c r="CQ24" s="603"/>
      <c r="CR24" s="603"/>
      <c r="CS24" s="603"/>
      <c r="CT24" s="603"/>
      <c r="CU24" s="603"/>
      <c r="CV24" s="603"/>
      <c r="CW24" s="603"/>
      <c r="CX24" s="603"/>
      <c r="CY24" s="603"/>
      <c r="CZ24" s="603"/>
      <c r="DA24" s="603"/>
      <c r="DB24" s="603"/>
      <c r="DC24" s="603"/>
      <c r="DD24" s="603"/>
      <c r="DE24" s="603"/>
      <c r="DF24" s="603"/>
      <c r="DG24" s="603"/>
      <c r="DH24" s="603"/>
      <c r="DI24" s="603"/>
      <c r="DJ24" s="603"/>
      <c r="DK24" s="603"/>
      <c r="DL24" s="603"/>
      <c r="DM24" s="603"/>
      <c r="DN24" s="603"/>
      <c r="DO24" s="603"/>
      <c r="DP24" s="603"/>
      <c r="DQ24" s="603"/>
      <c r="DR24" s="603"/>
      <c r="DS24" s="603"/>
      <c r="DT24" s="603"/>
      <c r="DU24" s="603"/>
      <c r="DV24" s="603"/>
      <c r="DW24" s="603"/>
      <c r="DX24" s="603"/>
      <c r="DY24" s="603"/>
      <c r="DZ24" s="603"/>
      <c r="EA24" s="603"/>
      <c r="EB24" s="603"/>
      <c r="EC24" s="603"/>
      <c r="ED24" s="603"/>
      <c r="EE24" s="603"/>
      <c r="EF24" s="603"/>
      <c r="EG24" s="603"/>
      <c r="EH24" s="603"/>
      <c r="EI24" s="603"/>
      <c r="EJ24" s="603"/>
      <c r="EK24" s="603"/>
      <c r="EL24" s="603"/>
      <c r="EM24" s="603"/>
      <c r="EN24" s="603"/>
      <c r="EO24" s="603"/>
      <c r="EP24" s="603"/>
      <c r="EQ24" s="603"/>
      <c r="ER24" s="603"/>
      <c r="ES24" s="603"/>
      <c r="ET24" s="603"/>
      <c r="EU24" s="603"/>
      <c r="EV24" s="603"/>
    </row>
    <row r="25" spans="1:152" s="605" customFormat="1" ht="20.100000000000001" customHeight="1">
      <c r="A25" s="624" t="s">
        <v>23</v>
      </c>
      <c r="B25" s="625">
        <f>'예산세출(진로)'!W44</f>
        <v>45429000</v>
      </c>
      <c r="C25" s="626">
        <f t="shared" si="3"/>
        <v>5.2110181909029657E-3</v>
      </c>
      <c r="D25" s="625">
        <f>'예산세출(진로)'!X44</f>
        <v>44074000</v>
      </c>
      <c r="E25" s="626">
        <f t="shared" si="4"/>
        <v>7.5659869455224566E-3</v>
      </c>
      <c r="F25" s="625">
        <f>+B25-D25</f>
        <v>1355000</v>
      </c>
      <c r="G25" s="628">
        <f t="shared" si="2"/>
        <v>3.0743749149158235E-2</v>
      </c>
      <c r="H25" s="602"/>
      <c r="I25" s="602"/>
      <c r="J25" s="602"/>
      <c r="K25" s="602"/>
      <c r="L25" s="603"/>
      <c r="M25" s="603" t="s">
        <v>2305</v>
      </c>
      <c r="N25" s="603" t="s">
        <v>2305</v>
      </c>
      <c r="O25" s="603"/>
      <c r="P25" s="604">
        <f>B9+B59</f>
        <v>3338312000</v>
      </c>
      <c r="Q25" s="603"/>
      <c r="R25" s="603"/>
      <c r="S25" s="603"/>
      <c r="T25" s="603"/>
      <c r="U25" s="603"/>
      <c r="V25" s="603"/>
      <c r="W25" s="603"/>
      <c r="X25" s="603"/>
      <c r="Y25" s="603"/>
      <c r="Z25" s="603"/>
      <c r="AA25" s="603"/>
      <c r="AB25" s="603"/>
      <c r="AC25" s="603"/>
      <c r="AD25" s="603"/>
      <c r="AE25" s="603"/>
      <c r="AF25" s="603"/>
      <c r="AG25" s="603"/>
      <c r="AH25" s="603"/>
      <c r="AI25" s="603"/>
      <c r="AJ25" s="603"/>
      <c r="AK25" s="603"/>
      <c r="AL25" s="603"/>
      <c r="AM25" s="603"/>
      <c r="AN25" s="603"/>
      <c r="AO25" s="603"/>
      <c r="AP25" s="603"/>
      <c r="AQ25" s="603"/>
      <c r="AR25" s="603"/>
      <c r="AS25" s="603"/>
      <c r="AT25" s="603"/>
      <c r="AU25" s="603"/>
      <c r="AV25" s="603"/>
      <c r="AW25" s="603"/>
      <c r="AX25" s="603"/>
      <c r="AY25" s="603"/>
      <c r="AZ25" s="603"/>
      <c r="BA25" s="603"/>
      <c r="BB25" s="603"/>
      <c r="BC25" s="603"/>
      <c r="BD25" s="603"/>
      <c r="BE25" s="603"/>
      <c r="BF25" s="603"/>
      <c r="BG25" s="603"/>
      <c r="BH25" s="603"/>
      <c r="BI25" s="603"/>
      <c r="BJ25" s="603"/>
      <c r="BK25" s="603"/>
      <c r="BL25" s="603"/>
      <c r="BM25" s="603"/>
      <c r="BN25" s="603"/>
      <c r="BO25" s="603"/>
      <c r="BP25" s="603"/>
      <c r="BQ25" s="603"/>
      <c r="BR25" s="603"/>
      <c r="BS25" s="603"/>
      <c r="BT25" s="603"/>
      <c r="BU25" s="603"/>
      <c r="BV25" s="603"/>
      <c r="BW25" s="603"/>
      <c r="BX25" s="603"/>
      <c r="BY25" s="603"/>
      <c r="BZ25" s="603"/>
      <c r="CA25" s="603"/>
      <c r="CB25" s="603"/>
      <c r="CC25" s="603"/>
      <c r="CD25" s="603"/>
      <c r="CE25" s="603"/>
      <c r="CF25" s="603"/>
      <c r="CG25" s="603"/>
      <c r="CH25" s="603"/>
      <c r="CI25" s="603"/>
      <c r="CJ25" s="603"/>
      <c r="CK25" s="603"/>
      <c r="CL25" s="603"/>
      <c r="CM25" s="603"/>
      <c r="CN25" s="603"/>
      <c r="CO25" s="603"/>
      <c r="CP25" s="603"/>
      <c r="CQ25" s="603"/>
      <c r="CR25" s="603"/>
      <c r="CS25" s="603"/>
      <c r="CT25" s="603"/>
      <c r="CU25" s="603"/>
      <c r="CV25" s="603"/>
      <c r="CW25" s="603"/>
      <c r="CX25" s="603"/>
      <c r="CY25" s="603"/>
      <c r="CZ25" s="603"/>
      <c r="DA25" s="603"/>
      <c r="DB25" s="603"/>
      <c r="DC25" s="603"/>
      <c r="DD25" s="603"/>
      <c r="DE25" s="603"/>
      <c r="DF25" s="603"/>
      <c r="DG25" s="603"/>
      <c r="DH25" s="603"/>
      <c r="DI25" s="603"/>
      <c r="DJ25" s="603"/>
      <c r="DK25" s="603"/>
      <c r="DL25" s="603"/>
      <c r="DM25" s="603"/>
      <c r="DN25" s="603"/>
      <c r="DO25" s="603"/>
      <c r="DP25" s="603"/>
      <c r="DQ25" s="603"/>
      <c r="DR25" s="603"/>
      <c r="DS25" s="603"/>
      <c r="DT25" s="603"/>
      <c r="DU25" s="603"/>
      <c r="DV25" s="603"/>
      <c r="DW25" s="603"/>
      <c r="DX25" s="603"/>
      <c r="DY25" s="603"/>
      <c r="DZ25" s="603"/>
      <c r="EA25" s="603"/>
      <c r="EB25" s="603"/>
      <c r="EC25" s="603"/>
      <c r="ED25" s="603"/>
      <c r="EE25" s="603"/>
      <c r="EF25" s="603"/>
      <c r="EG25" s="603"/>
      <c r="EH25" s="603"/>
      <c r="EI25" s="603"/>
      <c r="EJ25" s="603"/>
      <c r="EK25" s="603"/>
      <c r="EL25" s="603"/>
      <c r="EM25" s="603"/>
      <c r="EN25" s="603"/>
      <c r="EO25" s="603"/>
      <c r="EP25" s="603"/>
      <c r="EQ25" s="603"/>
      <c r="ER25" s="603"/>
      <c r="ES25" s="603"/>
      <c r="ET25" s="603"/>
      <c r="EU25" s="603"/>
      <c r="EV25" s="603"/>
    </row>
    <row r="26" spans="1:152" s="605" customFormat="1" ht="20.100000000000001" customHeight="1">
      <c r="A26" s="635" t="s">
        <v>24</v>
      </c>
      <c r="B26" s="627">
        <f>'예산세출(성사)'!X49</f>
        <v>86703000</v>
      </c>
      <c r="C26" s="636">
        <f t="shared" si="3"/>
        <v>9.9454293558268909E-3</v>
      </c>
      <c r="D26" s="627">
        <f>'예산세출(성사)'!Y49</f>
        <v>44427000</v>
      </c>
      <c r="E26" s="626">
        <f t="shared" si="4"/>
        <v>7.6265848806263596E-3</v>
      </c>
      <c r="F26" s="627">
        <f>+B26-D26</f>
        <v>42276000</v>
      </c>
      <c r="G26" s="637">
        <f t="shared" si="2"/>
        <v>0.95158349652238505</v>
      </c>
      <c r="H26" s="602"/>
      <c r="I26" s="602"/>
      <c r="J26" s="602"/>
      <c r="K26" s="602"/>
      <c r="L26" s="603"/>
      <c r="M26" s="603" t="s">
        <v>2312</v>
      </c>
      <c r="N26" s="603" t="s">
        <v>2306</v>
      </c>
      <c r="O26" s="603"/>
      <c r="P26" s="604">
        <f>B22+B66+B47+B53</f>
        <v>2228997000</v>
      </c>
      <c r="Q26" s="603"/>
      <c r="R26" s="603"/>
      <c r="S26" s="603"/>
      <c r="T26" s="603"/>
      <c r="U26" s="603"/>
      <c r="V26" s="603"/>
      <c r="W26" s="603"/>
      <c r="X26" s="604"/>
      <c r="Y26" s="603"/>
      <c r="Z26" s="603"/>
      <c r="AA26" s="603"/>
      <c r="AB26" s="603"/>
      <c r="AC26" s="603"/>
      <c r="AD26" s="603"/>
      <c r="AE26" s="603"/>
      <c r="AF26" s="603"/>
      <c r="AG26" s="603"/>
      <c r="AH26" s="603"/>
      <c r="AI26" s="603"/>
      <c r="AJ26" s="603"/>
      <c r="AK26" s="603"/>
      <c r="AL26" s="603"/>
      <c r="AM26" s="603"/>
      <c r="AN26" s="603"/>
      <c r="AO26" s="603"/>
      <c r="AP26" s="603"/>
      <c r="AQ26" s="603"/>
      <c r="AR26" s="603"/>
      <c r="AS26" s="603"/>
      <c r="AT26" s="603"/>
      <c r="AU26" s="603"/>
      <c r="AV26" s="603"/>
      <c r="AW26" s="603"/>
      <c r="AX26" s="603"/>
      <c r="AY26" s="603"/>
      <c r="AZ26" s="603"/>
      <c r="BA26" s="603"/>
      <c r="BB26" s="603"/>
      <c r="BC26" s="603"/>
      <c r="BD26" s="603"/>
      <c r="BE26" s="603"/>
      <c r="BF26" s="603"/>
      <c r="BG26" s="603"/>
      <c r="BH26" s="603"/>
      <c r="BI26" s="603"/>
      <c r="BJ26" s="603"/>
      <c r="BK26" s="603"/>
      <c r="BL26" s="603"/>
      <c r="BM26" s="603"/>
      <c r="BN26" s="603"/>
      <c r="BO26" s="603"/>
      <c r="BP26" s="603"/>
      <c r="BQ26" s="603"/>
      <c r="BR26" s="603"/>
      <c r="BS26" s="603"/>
      <c r="BT26" s="603"/>
      <c r="BU26" s="603"/>
      <c r="BV26" s="603"/>
      <c r="BW26" s="603"/>
      <c r="BX26" s="603"/>
      <c r="BY26" s="603"/>
      <c r="BZ26" s="603"/>
      <c r="CA26" s="603"/>
      <c r="CB26" s="603"/>
      <c r="CC26" s="603"/>
      <c r="CD26" s="603"/>
      <c r="CE26" s="603"/>
      <c r="CF26" s="603"/>
      <c r="CG26" s="603"/>
      <c r="CH26" s="603"/>
      <c r="CI26" s="603"/>
      <c r="CJ26" s="603"/>
      <c r="CK26" s="603"/>
      <c r="CL26" s="603"/>
      <c r="CM26" s="603"/>
      <c r="CN26" s="603"/>
      <c r="CO26" s="603"/>
      <c r="CP26" s="603"/>
      <c r="CQ26" s="603"/>
      <c r="CR26" s="603"/>
      <c r="CS26" s="603"/>
      <c r="CT26" s="603"/>
      <c r="CU26" s="603"/>
      <c r="CV26" s="603"/>
      <c r="CW26" s="603"/>
      <c r="CX26" s="603"/>
      <c r="CY26" s="603"/>
      <c r="CZ26" s="603"/>
      <c r="DA26" s="603"/>
      <c r="DB26" s="603"/>
      <c r="DC26" s="603"/>
      <c r="DD26" s="603"/>
      <c r="DE26" s="603"/>
      <c r="DF26" s="603"/>
      <c r="DG26" s="603"/>
      <c r="DH26" s="603"/>
      <c r="DI26" s="603"/>
      <c r="DJ26" s="603"/>
      <c r="DK26" s="603"/>
      <c r="DL26" s="603"/>
      <c r="DM26" s="603"/>
      <c r="DN26" s="603"/>
      <c r="DO26" s="603"/>
      <c r="DP26" s="603"/>
      <c r="DQ26" s="603"/>
      <c r="DR26" s="603"/>
      <c r="DS26" s="603"/>
      <c r="DT26" s="603"/>
      <c r="DU26" s="603"/>
      <c r="DV26" s="603"/>
      <c r="DW26" s="603"/>
      <c r="DX26" s="603"/>
      <c r="DY26" s="603"/>
      <c r="DZ26" s="603"/>
      <c r="EA26" s="603"/>
      <c r="EB26" s="603"/>
      <c r="EC26" s="603"/>
      <c r="ED26" s="603"/>
      <c r="EE26" s="603"/>
      <c r="EF26" s="603"/>
      <c r="EG26" s="603"/>
      <c r="EH26" s="603"/>
      <c r="EI26" s="603"/>
      <c r="EJ26" s="603"/>
      <c r="EK26" s="603"/>
      <c r="EL26" s="603"/>
      <c r="EM26" s="603"/>
      <c r="EN26" s="603"/>
      <c r="EO26" s="603"/>
      <c r="EP26" s="603"/>
      <c r="EQ26" s="603"/>
      <c r="ER26" s="603"/>
      <c r="ES26" s="603"/>
      <c r="ET26" s="603"/>
      <c r="EU26" s="603"/>
      <c r="EV26" s="603"/>
    </row>
    <row r="27" spans="1:152" s="605" customFormat="1" ht="20.100000000000001" customHeight="1">
      <c r="A27" s="635" t="s">
        <v>25</v>
      </c>
      <c r="B27" s="627">
        <f>'예산세출(탄현)'!Q40</f>
        <v>34827000</v>
      </c>
      <c r="C27" s="636">
        <f t="shared" si="3"/>
        <v>3.9948960033145695E-3</v>
      </c>
      <c r="D27" s="627">
        <f>'예산세출(탄현)'!R40</f>
        <v>26203000</v>
      </c>
      <c r="E27" s="626">
        <f t="shared" si="4"/>
        <v>4.4981521063104084E-3</v>
      </c>
      <c r="F27" s="627">
        <f t="shared" si="5"/>
        <v>8624000</v>
      </c>
      <c r="G27" s="637">
        <f t="shared" si="2"/>
        <v>0.32912261954738009</v>
      </c>
      <c r="H27" s="602"/>
      <c r="I27" s="602"/>
      <c r="J27" s="602"/>
      <c r="K27" s="602"/>
      <c r="L27" s="603"/>
      <c r="M27" s="603" t="s">
        <v>2311</v>
      </c>
      <c r="N27" s="603" t="s">
        <v>2307</v>
      </c>
      <c r="O27" s="603"/>
      <c r="P27" s="603"/>
      <c r="Q27" s="603"/>
      <c r="R27" s="603"/>
      <c r="S27" s="603"/>
      <c r="T27" s="603"/>
      <c r="U27" s="603"/>
      <c r="V27" s="603"/>
      <c r="W27" s="603"/>
      <c r="X27" s="603"/>
      <c r="Y27" s="603"/>
      <c r="Z27" s="603"/>
      <c r="AA27" s="603"/>
      <c r="AB27" s="603"/>
      <c r="AC27" s="603"/>
      <c r="AD27" s="603"/>
      <c r="AE27" s="603"/>
      <c r="AF27" s="603"/>
      <c r="AG27" s="603"/>
      <c r="AH27" s="603"/>
      <c r="AI27" s="603"/>
      <c r="AJ27" s="603"/>
      <c r="AK27" s="603"/>
      <c r="AL27" s="603"/>
      <c r="AM27" s="603"/>
      <c r="AN27" s="603"/>
      <c r="AO27" s="603"/>
      <c r="AP27" s="603"/>
      <c r="AQ27" s="603"/>
      <c r="AR27" s="603"/>
      <c r="AS27" s="603"/>
      <c r="AT27" s="603"/>
      <c r="AU27" s="603"/>
      <c r="AV27" s="603"/>
      <c r="AW27" s="603"/>
      <c r="AX27" s="603"/>
      <c r="AY27" s="603"/>
      <c r="AZ27" s="603"/>
      <c r="BA27" s="603"/>
      <c r="BB27" s="603"/>
      <c r="BC27" s="603"/>
      <c r="BD27" s="603"/>
      <c r="BE27" s="603"/>
      <c r="BF27" s="603"/>
      <c r="BG27" s="603"/>
      <c r="BH27" s="603"/>
      <c r="BI27" s="603"/>
      <c r="BJ27" s="603"/>
      <c r="BK27" s="603"/>
      <c r="BL27" s="603"/>
      <c r="BM27" s="603"/>
      <c r="BN27" s="603"/>
      <c r="BO27" s="603"/>
      <c r="BP27" s="603"/>
      <c r="BQ27" s="603"/>
      <c r="BR27" s="603"/>
      <c r="BS27" s="603"/>
      <c r="BT27" s="603"/>
      <c r="BU27" s="603"/>
      <c r="BV27" s="603"/>
      <c r="BW27" s="603"/>
      <c r="BX27" s="603"/>
      <c r="BY27" s="603"/>
      <c r="BZ27" s="603"/>
      <c r="CA27" s="603"/>
      <c r="CB27" s="603"/>
      <c r="CC27" s="603"/>
      <c r="CD27" s="603"/>
      <c r="CE27" s="603"/>
      <c r="CF27" s="603"/>
      <c r="CG27" s="603"/>
      <c r="CH27" s="603"/>
      <c r="CI27" s="603"/>
      <c r="CJ27" s="603"/>
      <c r="CK27" s="603"/>
      <c r="CL27" s="603"/>
      <c r="CM27" s="603"/>
      <c r="CN27" s="603"/>
      <c r="CO27" s="603"/>
      <c r="CP27" s="603"/>
      <c r="CQ27" s="603"/>
      <c r="CR27" s="603"/>
      <c r="CS27" s="603"/>
      <c r="CT27" s="603"/>
      <c r="CU27" s="603"/>
      <c r="CV27" s="603"/>
      <c r="CW27" s="603"/>
      <c r="CX27" s="603"/>
      <c r="CY27" s="603"/>
      <c r="CZ27" s="603"/>
      <c r="DA27" s="603"/>
      <c r="DB27" s="603"/>
      <c r="DC27" s="603"/>
      <c r="DD27" s="603"/>
      <c r="DE27" s="603"/>
      <c r="DF27" s="603"/>
      <c r="DG27" s="603"/>
      <c r="DH27" s="603"/>
      <c r="DI27" s="603"/>
      <c r="DJ27" s="603"/>
      <c r="DK27" s="603"/>
      <c r="DL27" s="603"/>
      <c r="DM27" s="603"/>
      <c r="DN27" s="603"/>
      <c r="DO27" s="603"/>
      <c r="DP27" s="603"/>
      <c r="DQ27" s="603"/>
      <c r="DR27" s="603"/>
      <c r="DS27" s="603"/>
      <c r="DT27" s="603"/>
      <c r="DU27" s="603"/>
      <c r="DV27" s="603"/>
      <c r="DW27" s="603"/>
      <c r="DX27" s="603"/>
      <c r="DY27" s="603"/>
      <c r="DZ27" s="603"/>
      <c r="EA27" s="603"/>
      <c r="EB27" s="603"/>
      <c r="EC27" s="603"/>
      <c r="ED27" s="603"/>
      <c r="EE27" s="603"/>
      <c r="EF27" s="603"/>
      <c r="EG27" s="603"/>
      <c r="EH27" s="603"/>
      <c r="EI27" s="603"/>
      <c r="EJ27" s="603"/>
      <c r="EK27" s="603"/>
      <c r="EL27" s="603"/>
      <c r="EM27" s="603"/>
      <c r="EN27" s="603"/>
      <c r="EO27" s="603"/>
      <c r="EP27" s="603"/>
      <c r="EQ27" s="603"/>
      <c r="ER27" s="603"/>
      <c r="ES27" s="603"/>
      <c r="ET27" s="603"/>
      <c r="EU27" s="603"/>
      <c r="EV27" s="603"/>
    </row>
    <row r="28" spans="1:152" s="605" customFormat="1" ht="20.100000000000001" customHeight="1">
      <c r="A28" s="635" t="s">
        <v>2130</v>
      </c>
      <c r="B28" s="627">
        <f>'예산세출(주교)'!Q36</f>
        <v>14296000</v>
      </c>
      <c r="C28" s="636">
        <f t="shared" si="3"/>
        <v>1.6398493485911818E-3</v>
      </c>
      <c r="D28" s="627">
        <f>'예산세출(주교)'!R36</f>
        <v>13457000</v>
      </c>
      <c r="E28" s="626">
        <f t="shared" si="4"/>
        <v>2.3101031521054519E-3</v>
      </c>
      <c r="F28" s="627">
        <f t="shared" si="5"/>
        <v>839000</v>
      </c>
      <c r="G28" s="637">
        <f t="shared" si="2"/>
        <v>6.234673404176265E-2</v>
      </c>
      <c r="H28" s="602"/>
      <c r="I28" s="602"/>
      <c r="J28" s="602"/>
      <c r="K28" s="602"/>
      <c r="L28" s="603"/>
      <c r="M28" s="603" t="s">
        <v>2310</v>
      </c>
      <c r="N28" s="603"/>
      <c r="O28" s="603"/>
      <c r="P28" s="604">
        <f>B55+B96</f>
        <v>20000000</v>
      </c>
      <c r="Q28" s="603"/>
      <c r="R28" s="603"/>
      <c r="S28" s="603"/>
      <c r="T28" s="603"/>
      <c r="U28" s="603"/>
      <c r="V28" s="603"/>
      <c r="W28" s="603"/>
      <c r="X28" s="604">
        <f>D21+D34+D46</f>
        <v>52500000</v>
      </c>
      <c r="Y28" s="603"/>
      <c r="Z28" s="603"/>
      <c r="AA28" s="603"/>
      <c r="AB28" s="603"/>
      <c r="AC28" s="603"/>
      <c r="AD28" s="603"/>
      <c r="AE28" s="603"/>
      <c r="AF28" s="603"/>
      <c r="AG28" s="603"/>
      <c r="AH28" s="603"/>
      <c r="AI28" s="603"/>
      <c r="AJ28" s="603"/>
      <c r="AK28" s="603"/>
      <c r="AL28" s="603"/>
      <c r="AM28" s="603"/>
      <c r="AN28" s="603"/>
      <c r="AO28" s="603"/>
      <c r="AP28" s="603"/>
      <c r="AQ28" s="603"/>
      <c r="AR28" s="603"/>
      <c r="AS28" s="603"/>
      <c r="AT28" s="603"/>
      <c r="AU28" s="603"/>
      <c r="AV28" s="603"/>
      <c r="AW28" s="603"/>
      <c r="AX28" s="603"/>
      <c r="AY28" s="603"/>
      <c r="AZ28" s="603"/>
      <c r="BA28" s="603"/>
      <c r="BB28" s="603"/>
      <c r="BC28" s="603"/>
      <c r="BD28" s="603"/>
      <c r="BE28" s="603"/>
      <c r="BF28" s="603"/>
      <c r="BG28" s="603"/>
      <c r="BH28" s="603"/>
      <c r="BI28" s="603"/>
      <c r="BJ28" s="603"/>
      <c r="BK28" s="603"/>
      <c r="BL28" s="603"/>
      <c r="BM28" s="603"/>
      <c r="BN28" s="603"/>
      <c r="BO28" s="603"/>
      <c r="BP28" s="603"/>
      <c r="BQ28" s="603"/>
      <c r="BR28" s="603"/>
      <c r="BS28" s="603"/>
      <c r="BT28" s="603"/>
      <c r="BU28" s="603"/>
      <c r="BV28" s="603"/>
      <c r="BW28" s="603"/>
      <c r="BX28" s="603"/>
      <c r="BY28" s="603"/>
      <c r="BZ28" s="603"/>
      <c r="CA28" s="603"/>
      <c r="CB28" s="603"/>
      <c r="CC28" s="603"/>
      <c r="CD28" s="603"/>
      <c r="CE28" s="603"/>
      <c r="CF28" s="603"/>
      <c r="CG28" s="603"/>
      <c r="CH28" s="603"/>
      <c r="CI28" s="603"/>
      <c r="CJ28" s="603"/>
      <c r="CK28" s="603"/>
      <c r="CL28" s="603"/>
      <c r="CM28" s="603"/>
      <c r="CN28" s="603"/>
      <c r="CO28" s="603"/>
      <c r="CP28" s="603"/>
      <c r="CQ28" s="603"/>
      <c r="CR28" s="603"/>
      <c r="CS28" s="603"/>
      <c r="CT28" s="603"/>
      <c r="CU28" s="603"/>
      <c r="CV28" s="603"/>
      <c r="CW28" s="603"/>
      <c r="CX28" s="603"/>
      <c r="CY28" s="603"/>
      <c r="CZ28" s="603"/>
      <c r="DA28" s="603"/>
      <c r="DB28" s="603"/>
      <c r="DC28" s="603"/>
      <c r="DD28" s="603"/>
      <c r="DE28" s="603"/>
      <c r="DF28" s="603"/>
      <c r="DG28" s="603"/>
      <c r="DH28" s="603"/>
      <c r="DI28" s="603"/>
      <c r="DJ28" s="603"/>
      <c r="DK28" s="603"/>
      <c r="DL28" s="603"/>
      <c r="DM28" s="603"/>
      <c r="DN28" s="603"/>
      <c r="DO28" s="603"/>
      <c r="DP28" s="603"/>
      <c r="DQ28" s="603"/>
      <c r="DR28" s="603"/>
      <c r="DS28" s="603"/>
      <c r="DT28" s="603"/>
      <c r="DU28" s="603"/>
      <c r="DV28" s="603"/>
      <c r="DW28" s="603"/>
      <c r="DX28" s="603"/>
      <c r="DY28" s="603"/>
      <c r="DZ28" s="603"/>
      <c r="EA28" s="603"/>
      <c r="EB28" s="603"/>
      <c r="EC28" s="603"/>
      <c r="ED28" s="603"/>
      <c r="EE28" s="603"/>
      <c r="EF28" s="603"/>
      <c r="EG28" s="603"/>
      <c r="EH28" s="603"/>
      <c r="EI28" s="603"/>
      <c r="EJ28" s="603"/>
      <c r="EK28" s="603"/>
      <c r="EL28" s="603"/>
      <c r="EM28" s="603"/>
      <c r="EN28" s="603"/>
      <c r="EO28" s="603"/>
      <c r="EP28" s="603"/>
      <c r="EQ28" s="603"/>
      <c r="ER28" s="603"/>
      <c r="ES28" s="603"/>
      <c r="ET28" s="603"/>
      <c r="EU28" s="603"/>
      <c r="EV28" s="603"/>
    </row>
    <row r="29" spans="1:152" s="605" customFormat="1" ht="20.100000000000001" customHeight="1">
      <c r="A29" s="635" t="s">
        <v>2131</v>
      </c>
      <c r="B29" s="627">
        <f>'예산세출(일산서구)'!W55</f>
        <v>237151000</v>
      </c>
      <c r="C29" s="636">
        <f t="shared" si="3"/>
        <v>2.7202847850290104E-2</v>
      </c>
      <c r="D29" s="627">
        <v>0</v>
      </c>
      <c r="E29" s="626">
        <f t="shared" si="4"/>
        <v>0</v>
      </c>
      <c r="F29" s="627">
        <f t="shared" si="5"/>
        <v>237151000</v>
      </c>
      <c r="G29" s="640">
        <v>1</v>
      </c>
      <c r="H29" s="602"/>
      <c r="I29" s="602"/>
      <c r="J29" s="602"/>
      <c r="K29" s="602"/>
      <c r="L29" s="603"/>
      <c r="M29" s="603" t="s">
        <v>2309</v>
      </c>
      <c r="N29" s="603" t="s">
        <v>2308</v>
      </c>
      <c r="O29" s="603"/>
      <c r="P29" s="604">
        <f>B83</f>
        <v>85154000</v>
      </c>
      <c r="Q29" s="603"/>
      <c r="R29" s="603"/>
      <c r="S29" s="603"/>
      <c r="T29" s="603"/>
      <c r="U29" s="603"/>
      <c r="V29" s="603"/>
      <c r="W29" s="603"/>
      <c r="X29" s="603"/>
      <c r="Y29" s="603"/>
      <c r="Z29" s="603"/>
      <c r="AA29" s="603"/>
      <c r="AB29" s="603"/>
      <c r="AC29" s="603"/>
      <c r="AD29" s="603"/>
      <c r="AE29" s="603"/>
      <c r="AF29" s="603"/>
      <c r="AG29" s="603"/>
      <c r="AH29" s="603"/>
      <c r="AI29" s="603"/>
      <c r="AJ29" s="603"/>
      <c r="AK29" s="603"/>
      <c r="AL29" s="603"/>
      <c r="AM29" s="603"/>
      <c r="AN29" s="603"/>
      <c r="AO29" s="603"/>
      <c r="AP29" s="603"/>
      <c r="AQ29" s="603"/>
      <c r="AR29" s="603"/>
      <c r="AS29" s="603"/>
      <c r="AT29" s="603"/>
      <c r="AU29" s="603"/>
      <c r="AV29" s="603"/>
      <c r="AW29" s="603"/>
      <c r="AX29" s="603"/>
      <c r="AY29" s="603"/>
      <c r="AZ29" s="603"/>
      <c r="BA29" s="603"/>
      <c r="BB29" s="603"/>
      <c r="BC29" s="603"/>
      <c r="BD29" s="603"/>
      <c r="BE29" s="603"/>
      <c r="BF29" s="603"/>
      <c r="BG29" s="603"/>
      <c r="BH29" s="603"/>
      <c r="BI29" s="603"/>
      <c r="BJ29" s="603"/>
      <c r="BK29" s="603"/>
      <c r="BL29" s="603"/>
      <c r="BM29" s="603"/>
      <c r="BN29" s="603"/>
      <c r="BO29" s="603"/>
      <c r="BP29" s="603"/>
      <c r="BQ29" s="603"/>
      <c r="BR29" s="603"/>
      <c r="BS29" s="603"/>
      <c r="BT29" s="603"/>
      <c r="BU29" s="603"/>
      <c r="BV29" s="603"/>
      <c r="BW29" s="603"/>
      <c r="BX29" s="603"/>
      <c r="BY29" s="603"/>
      <c r="BZ29" s="603"/>
      <c r="CA29" s="603"/>
      <c r="CB29" s="603"/>
      <c r="CC29" s="603"/>
      <c r="CD29" s="603"/>
      <c r="CE29" s="603"/>
      <c r="CF29" s="603"/>
      <c r="CG29" s="603"/>
      <c r="CH29" s="603"/>
      <c r="CI29" s="603"/>
      <c r="CJ29" s="603"/>
      <c r="CK29" s="603"/>
      <c r="CL29" s="603"/>
      <c r="CM29" s="603"/>
      <c r="CN29" s="603"/>
      <c r="CO29" s="603"/>
      <c r="CP29" s="603"/>
      <c r="CQ29" s="603"/>
      <c r="CR29" s="603"/>
      <c r="CS29" s="603"/>
      <c r="CT29" s="603"/>
      <c r="CU29" s="603"/>
      <c r="CV29" s="603"/>
      <c r="CW29" s="603"/>
      <c r="CX29" s="603"/>
      <c r="CY29" s="603"/>
      <c r="CZ29" s="603"/>
      <c r="DA29" s="603"/>
      <c r="DB29" s="603"/>
      <c r="DC29" s="603"/>
      <c r="DD29" s="603"/>
      <c r="DE29" s="603"/>
      <c r="DF29" s="603"/>
      <c r="DG29" s="603"/>
      <c r="DH29" s="603"/>
      <c r="DI29" s="603"/>
      <c r="DJ29" s="603"/>
      <c r="DK29" s="603"/>
      <c r="DL29" s="603"/>
      <c r="DM29" s="603"/>
      <c r="DN29" s="603"/>
      <c r="DO29" s="603"/>
      <c r="DP29" s="603"/>
      <c r="DQ29" s="603"/>
      <c r="DR29" s="603"/>
      <c r="DS29" s="603"/>
      <c r="DT29" s="603"/>
      <c r="DU29" s="603"/>
      <c r="DV29" s="603"/>
      <c r="DW29" s="603"/>
      <c r="DX29" s="603"/>
      <c r="DY29" s="603"/>
      <c r="DZ29" s="603"/>
      <c r="EA29" s="603"/>
      <c r="EB29" s="603"/>
      <c r="EC29" s="603"/>
      <c r="ED29" s="603"/>
      <c r="EE29" s="603"/>
      <c r="EF29" s="603"/>
      <c r="EG29" s="603"/>
      <c r="EH29" s="603"/>
      <c r="EI29" s="603"/>
      <c r="EJ29" s="603"/>
      <c r="EK29" s="603"/>
      <c r="EL29" s="603"/>
      <c r="EM29" s="603"/>
      <c r="EN29" s="603"/>
      <c r="EO29" s="603"/>
      <c r="EP29" s="603"/>
      <c r="EQ29" s="603"/>
      <c r="ER29" s="603"/>
      <c r="ES29" s="603"/>
      <c r="ET29" s="603"/>
      <c r="EU29" s="603"/>
      <c r="EV29" s="603"/>
    </row>
    <row r="30" spans="1:152" s="605" customFormat="1" ht="20.100000000000001" customHeight="1">
      <c r="A30" s="635" t="s">
        <v>26</v>
      </c>
      <c r="B30" s="627">
        <f>'예산세출(토당)'!O52</f>
        <v>247567000</v>
      </c>
      <c r="C30" s="636">
        <f t="shared" si="3"/>
        <v>2.8397634560903266E-2</v>
      </c>
      <c r="D30" s="627">
        <f>'예산세출(토당)'!P52</f>
        <v>153500000</v>
      </c>
      <c r="E30" s="626">
        <f t="shared" si="4"/>
        <v>2.6350660165578278E-2</v>
      </c>
      <c r="F30" s="627">
        <f t="shared" si="5"/>
        <v>94067000</v>
      </c>
      <c r="G30" s="637">
        <f t="shared" si="2"/>
        <v>0.61281433224755699</v>
      </c>
      <c r="H30" s="602"/>
      <c r="I30" s="602"/>
      <c r="J30" s="602"/>
      <c r="K30" s="602"/>
      <c r="L30" s="603"/>
      <c r="M30" s="603" t="s">
        <v>2302</v>
      </c>
      <c r="N30" s="603"/>
      <c r="O30" s="603"/>
      <c r="P30" s="604">
        <f>B35+B77</f>
        <v>3045411000</v>
      </c>
      <c r="Q30" s="603"/>
      <c r="R30" s="603"/>
      <c r="S30" s="603"/>
      <c r="T30" s="603"/>
      <c r="U30" s="603"/>
      <c r="V30" s="603"/>
      <c r="W30" s="603"/>
      <c r="X30" s="603"/>
      <c r="Y30" s="603"/>
      <c r="Z30" s="603"/>
      <c r="AA30" s="603"/>
      <c r="AB30" s="603"/>
      <c r="AC30" s="603"/>
      <c r="AD30" s="603"/>
      <c r="AE30" s="603"/>
      <c r="AF30" s="603"/>
      <c r="AG30" s="603"/>
      <c r="AH30" s="603"/>
      <c r="AI30" s="603"/>
      <c r="AJ30" s="603"/>
      <c r="AK30" s="603"/>
      <c r="AL30" s="603"/>
      <c r="AM30" s="603"/>
      <c r="AN30" s="603"/>
      <c r="AO30" s="603"/>
      <c r="AP30" s="603"/>
      <c r="AQ30" s="603"/>
      <c r="AR30" s="603"/>
      <c r="AS30" s="603"/>
      <c r="AT30" s="603"/>
      <c r="AU30" s="603"/>
      <c r="AV30" s="603"/>
      <c r="AW30" s="603"/>
      <c r="AX30" s="603"/>
      <c r="AY30" s="603"/>
      <c r="AZ30" s="603"/>
      <c r="BA30" s="603"/>
      <c r="BB30" s="603"/>
      <c r="BC30" s="603"/>
      <c r="BD30" s="603"/>
      <c r="BE30" s="603"/>
      <c r="BF30" s="603"/>
      <c r="BG30" s="603"/>
      <c r="BH30" s="603"/>
      <c r="BI30" s="603"/>
      <c r="BJ30" s="603"/>
      <c r="BK30" s="603"/>
      <c r="BL30" s="603"/>
      <c r="BM30" s="603"/>
      <c r="BN30" s="603"/>
      <c r="BO30" s="603"/>
      <c r="BP30" s="603"/>
      <c r="BQ30" s="603"/>
      <c r="BR30" s="603"/>
      <c r="BS30" s="603"/>
      <c r="BT30" s="603"/>
      <c r="BU30" s="603"/>
      <c r="BV30" s="603"/>
      <c r="BW30" s="603"/>
      <c r="BX30" s="603"/>
      <c r="BY30" s="603"/>
      <c r="BZ30" s="603"/>
      <c r="CA30" s="603"/>
      <c r="CB30" s="603"/>
      <c r="CC30" s="603"/>
      <c r="CD30" s="603"/>
      <c r="CE30" s="603"/>
      <c r="CF30" s="603"/>
      <c r="CG30" s="603"/>
      <c r="CH30" s="603"/>
      <c r="CI30" s="603"/>
      <c r="CJ30" s="603"/>
      <c r="CK30" s="603"/>
      <c r="CL30" s="603"/>
      <c r="CM30" s="603"/>
      <c r="CN30" s="603"/>
      <c r="CO30" s="603"/>
      <c r="CP30" s="603"/>
      <c r="CQ30" s="603"/>
      <c r="CR30" s="603"/>
      <c r="CS30" s="603"/>
      <c r="CT30" s="603"/>
      <c r="CU30" s="603"/>
      <c r="CV30" s="603"/>
      <c r="CW30" s="603"/>
      <c r="CX30" s="603"/>
      <c r="CY30" s="603"/>
      <c r="CZ30" s="603"/>
      <c r="DA30" s="603"/>
      <c r="DB30" s="603"/>
      <c r="DC30" s="603"/>
      <c r="DD30" s="603"/>
      <c r="DE30" s="603"/>
      <c r="DF30" s="603"/>
      <c r="DG30" s="603"/>
      <c r="DH30" s="603"/>
      <c r="DI30" s="603"/>
      <c r="DJ30" s="603"/>
      <c r="DK30" s="603"/>
      <c r="DL30" s="603"/>
      <c r="DM30" s="603"/>
      <c r="DN30" s="603"/>
      <c r="DO30" s="603"/>
      <c r="DP30" s="603"/>
      <c r="DQ30" s="603"/>
      <c r="DR30" s="603"/>
      <c r="DS30" s="603"/>
      <c r="DT30" s="603"/>
      <c r="DU30" s="603"/>
      <c r="DV30" s="603"/>
      <c r="DW30" s="603"/>
      <c r="DX30" s="603"/>
      <c r="DY30" s="603"/>
      <c r="DZ30" s="603"/>
      <c r="EA30" s="603"/>
      <c r="EB30" s="603"/>
      <c r="EC30" s="603"/>
      <c r="ED30" s="603"/>
      <c r="EE30" s="603"/>
      <c r="EF30" s="603"/>
      <c r="EG30" s="603"/>
      <c r="EH30" s="603"/>
      <c r="EI30" s="603"/>
      <c r="EJ30" s="603"/>
      <c r="EK30" s="603"/>
      <c r="EL30" s="603"/>
      <c r="EM30" s="603"/>
      <c r="EN30" s="603"/>
      <c r="EO30" s="603"/>
      <c r="EP30" s="603"/>
      <c r="EQ30" s="603"/>
      <c r="ER30" s="603"/>
      <c r="ES30" s="603"/>
      <c r="ET30" s="603"/>
      <c r="EU30" s="603"/>
      <c r="EV30" s="603"/>
    </row>
    <row r="31" spans="1:152" s="605" customFormat="1" ht="20.100000000000001" customHeight="1">
      <c r="A31" s="635" t="s">
        <v>27</v>
      </c>
      <c r="B31" s="627">
        <f>'예산세출(상담)'!Q83</f>
        <v>48841000</v>
      </c>
      <c r="C31" s="636">
        <f t="shared" si="3"/>
        <v>5.6023980158465244E-3</v>
      </c>
      <c r="D31" s="627">
        <f>ROUNDUP('예산세출(상담)'!R83,-3)</f>
        <v>37166000</v>
      </c>
      <c r="E31" s="626">
        <f t="shared" si="4"/>
        <v>6.380121405302165E-3</v>
      </c>
      <c r="F31" s="627">
        <f t="shared" si="5"/>
        <v>11675000</v>
      </c>
      <c r="G31" s="637">
        <f t="shared" si="2"/>
        <v>0.31413119517838883</v>
      </c>
      <c r="H31" s="602"/>
      <c r="I31" s="602"/>
      <c r="J31" s="602"/>
      <c r="K31" s="602"/>
      <c r="L31" s="603"/>
      <c r="M31" s="603"/>
      <c r="N31" s="603"/>
      <c r="O31" s="603"/>
      <c r="P31" s="604">
        <f>SUM(P25:P30)</f>
        <v>8717874000</v>
      </c>
      <c r="Q31" s="603"/>
      <c r="R31" s="603"/>
      <c r="S31" s="603"/>
      <c r="T31" s="603"/>
      <c r="U31" s="603"/>
      <c r="V31" s="603"/>
      <c r="W31" s="603"/>
      <c r="X31" s="603"/>
      <c r="Y31" s="603"/>
      <c r="Z31" s="603"/>
      <c r="AA31" s="603"/>
      <c r="AB31" s="603"/>
      <c r="AC31" s="603"/>
      <c r="AD31" s="603"/>
      <c r="AE31" s="603"/>
      <c r="AF31" s="603"/>
      <c r="AG31" s="603"/>
      <c r="AH31" s="603"/>
      <c r="AI31" s="603"/>
      <c r="AJ31" s="603"/>
      <c r="AK31" s="603"/>
      <c r="AL31" s="603"/>
      <c r="AM31" s="603"/>
      <c r="AN31" s="603"/>
      <c r="AO31" s="603"/>
      <c r="AP31" s="603"/>
      <c r="AQ31" s="603"/>
      <c r="AR31" s="603"/>
      <c r="AS31" s="603"/>
      <c r="AT31" s="603"/>
      <c r="AU31" s="603"/>
      <c r="AV31" s="603"/>
      <c r="AW31" s="603"/>
      <c r="AX31" s="603"/>
      <c r="AY31" s="603"/>
      <c r="AZ31" s="603"/>
      <c r="BA31" s="603"/>
      <c r="BB31" s="603"/>
      <c r="BC31" s="603"/>
      <c r="BD31" s="603"/>
      <c r="BE31" s="603"/>
      <c r="BF31" s="603"/>
      <c r="BG31" s="603"/>
      <c r="BH31" s="603"/>
      <c r="BI31" s="603"/>
      <c r="BJ31" s="603"/>
      <c r="BK31" s="603"/>
      <c r="BL31" s="603"/>
      <c r="BM31" s="603"/>
      <c r="BN31" s="603"/>
      <c r="BO31" s="603"/>
      <c r="BP31" s="603"/>
      <c r="BQ31" s="603"/>
      <c r="BR31" s="603"/>
      <c r="BS31" s="603"/>
      <c r="BT31" s="603"/>
      <c r="BU31" s="603"/>
      <c r="BV31" s="603"/>
      <c r="BW31" s="603"/>
      <c r="BX31" s="603"/>
      <c r="BY31" s="603"/>
      <c r="BZ31" s="603"/>
      <c r="CA31" s="603"/>
      <c r="CB31" s="603"/>
      <c r="CC31" s="603"/>
      <c r="CD31" s="603"/>
      <c r="CE31" s="603"/>
      <c r="CF31" s="603"/>
      <c r="CG31" s="603"/>
      <c r="CH31" s="603"/>
      <c r="CI31" s="603"/>
      <c r="CJ31" s="603"/>
      <c r="CK31" s="603"/>
      <c r="CL31" s="603"/>
      <c r="CM31" s="603"/>
      <c r="CN31" s="603"/>
      <c r="CO31" s="603"/>
      <c r="CP31" s="603"/>
      <c r="CQ31" s="603"/>
      <c r="CR31" s="603"/>
      <c r="CS31" s="603"/>
      <c r="CT31" s="603"/>
      <c r="CU31" s="603"/>
      <c r="CV31" s="603"/>
      <c r="CW31" s="603"/>
      <c r="CX31" s="603"/>
      <c r="CY31" s="603"/>
      <c r="CZ31" s="603"/>
      <c r="DA31" s="603"/>
      <c r="DB31" s="603"/>
      <c r="DC31" s="603"/>
      <c r="DD31" s="603"/>
      <c r="DE31" s="603"/>
      <c r="DF31" s="603"/>
      <c r="DG31" s="603"/>
      <c r="DH31" s="603"/>
      <c r="DI31" s="603"/>
      <c r="DJ31" s="603"/>
      <c r="DK31" s="603"/>
      <c r="DL31" s="603"/>
      <c r="DM31" s="603"/>
      <c r="DN31" s="603"/>
      <c r="DO31" s="603"/>
      <c r="DP31" s="603"/>
      <c r="DQ31" s="603"/>
      <c r="DR31" s="603"/>
      <c r="DS31" s="603"/>
      <c r="DT31" s="603"/>
      <c r="DU31" s="603"/>
      <c r="DV31" s="603"/>
      <c r="DW31" s="603"/>
      <c r="DX31" s="603"/>
      <c r="DY31" s="603"/>
      <c r="DZ31" s="603"/>
      <c r="EA31" s="603"/>
      <c r="EB31" s="603"/>
      <c r="EC31" s="603"/>
      <c r="ED31" s="603"/>
      <c r="EE31" s="603"/>
      <c r="EF31" s="603"/>
      <c r="EG31" s="603"/>
      <c r="EH31" s="603"/>
      <c r="EI31" s="603"/>
      <c r="EJ31" s="603"/>
      <c r="EK31" s="603"/>
      <c r="EL31" s="603"/>
      <c r="EM31" s="603"/>
      <c r="EN31" s="603"/>
      <c r="EO31" s="603"/>
      <c r="EP31" s="603"/>
      <c r="EQ31" s="603"/>
      <c r="ER31" s="603"/>
      <c r="ES31" s="603"/>
      <c r="ET31" s="603"/>
      <c r="EU31" s="603"/>
      <c r="EV31" s="603"/>
    </row>
    <row r="32" spans="1:152" s="605" customFormat="1" ht="20.100000000000001" customHeight="1">
      <c r="A32" s="642" t="s">
        <v>36</v>
      </c>
      <c r="B32" s="643">
        <f>'예산세출(화정)'!O31</f>
        <v>23047000</v>
      </c>
      <c r="C32" s="644">
        <f t="shared" si="3"/>
        <v>2.6436491282163517E-3</v>
      </c>
      <c r="D32" s="643">
        <f>'예산세출(화정)'!P31</f>
        <v>14840000</v>
      </c>
      <c r="E32" s="644">
        <f t="shared" si="4"/>
        <v>2.5475165919034634E-3</v>
      </c>
      <c r="F32" s="643">
        <f t="shared" si="5"/>
        <v>8207000</v>
      </c>
      <c r="G32" s="645">
        <f t="shared" si="2"/>
        <v>0.55303234501347709</v>
      </c>
      <c r="H32" s="602"/>
      <c r="I32" s="602"/>
      <c r="J32" s="602"/>
      <c r="K32" s="602"/>
      <c r="L32" s="603"/>
      <c r="M32" s="603"/>
      <c r="N32" s="603" t="s">
        <v>2302</v>
      </c>
      <c r="O32" s="603"/>
      <c r="P32" s="604">
        <f>B7-P33-P34</f>
        <v>8612720000</v>
      </c>
      <c r="Q32" s="603"/>
      <c r="R32" s="603"/>
      <c r="S32" s="603"/>
      <c r="T32" s="603"/>
      <c r="U32" s="603"/>
      <c r="V32" s="603"/>
      <c r="W32" s="603"/>
      <c r="X32" s="603"/>
      <c r="Y32" s="603"/>
      <c r="Z32" s="603"/>
      <c r="AA32" s="603"/>
      <c r="AB32" s="603"/>
      <c r="AC32" s="603"/>
      <c r="AD32" s="603"/>
      <c r="AE32" s="603"/>
      <c r="AF32" s="603"/>
      <c r="AG32" s="603"/>
      <c r="AH32" s="603"/>
      <c r="AI32" s="603"/>
      <c r="AJ32" s="603"/>
      <c r="AK32" s="603"/>
      <c r="AL32" s="603"/>
      <c r="AM32" s="603"/>
      <c r="AN32" s="603"/>
      <c r="AO32" s="603"/>
      <c r="AP32" s="603"/>
      <c r="AQ32" s="603"/>
      <c r="AR32" s="603"/>
      <c r="AS32" s="603"/>
      <c r="AT32" s="603"/>
      <c r="AU32" s="603"/>
      <c r="AV32" s="603"/>
      <c r="AW32" s="603"/>
      <c r="AX32" s="603"/>
      <c r="AY32" s="603"/>
      <c r="AZ32" s="603"/>
      <c r="BA32" s="603"/>
      <c r="BB32" s="603"/>
      <c r="BC32" s="603"/>
      <c r="BD32" s="603"/>
      <c r="BE32" s="603"/>
      <c r="BF32" s="603"/>
      <c r="BG32" s="603"/>
      <c r="BH32" s="603"/>
      <c r="BI32" s="603"/>
      <c r="BJ32" s="603"/>
      <c r="BK32" s="603"/>
      <c r="BL32" s="603"/>
      <c r="BM32" s="603"/>
      <c r="BN32" s="603"/>
      <c r="BO32" s="603"/>
      <c r="BP32" s="603"/>
      <c r="BQ32" s="603"/>
      <c r="BR32" s="603"/>
      <c r="BS32" s="603"/>
      <c r="BT32" s="603"/>
      <c r="BU32" s="603"/>
      <c r="BV32" s="603"/>
      <c r="BW32" s="603"/>
      <c r="BX32" s="603"/>
      <c r="BY32" s="603"/>
      <c r="BZ32" s="603"/>
      <c r="CA32" s="603"/>
      <c r="CB32" s="603"/>
      <c r="CC32" s="603"/>
      <c r="CD32" s="603"/>
      <c r="CE32" s="603"/>
      <c r="CF32" s="603"/>
      <c r="CG32" s="603"/>
      <c r="CH32" s="603"/>
      <c r="CI32" s="603"/>
      <c r="CJ32" s="603"/>
      <c r="CK32" s="603"/>
      <c r="CL32" s="603"/>
      <c r="CM32" s="603"/>
      <c r="CN32" s="603"/>
      <c r="CO32" s="603"/>
      <c r="CP32" s="603"/>
      <c r="CQ32" s="603"/>
      <c r="CR32" s="603"/>
      <c r="CS32" s="603"/>
      <c r="CT32" s="603"/>
      <c r="CU32" s="603"/>
      <c r="CV32" s="603"/>
      <c r="CW32" s="603"/>
      <c r="CX32" s="603"/>
      <c r="CY32" s="603"/>
      <c r="CZ32" s="603"/>
      <c r="DA32" s="603"/>
      <c r="DB32" s="603"/>
      <c r="DC32" s="603"/>
      <c r="DD32" s="603"/>
      <c r="DE32" s="603"/>
      <c r="DF32" s="603"/>
      <c r="DG32" s="603"/>
      <c r="DH32" s="603"/>
      <c r="DI32" s="603"/>
      <c r="DJ32" s="603"/>
      <c r="DK32" s="603"/>
      <c r="DL32" s="603"/>
      <c r="DM32" s="603"/>
      <c r="DN32" s="603"/>
      <c r="DO32" s="603"/>
      <c r="DP32" s="603"/>
      <c r="DQ32" s="603"/>
      <c r="DR32" s="603"/>
      <c r="DS32" s="603"/>
      <c r="DT32" s="603"/>
      <c r="DU32" s="603"/>
      <c r="DV32" s="603"/>
      <c r="DW32" s="603"/>
      <c r="DX32" s="603"/>
      <c r="DY32" s="603"/>
      <c r="DZ32" s="603"/>
      <c r="EA32" s="603"/>
      <c r="EB32" s="603"/>
      <c r="EC32" s="603"/>
      <c r="ED32" s="603"/>
      <c r="EE32" s="603"/>
      <c r="EF32" s="603"/>
      <c r="EG32" s="603"/>
      <c r="EH32" s="603"/>
      <c r="EI32" s="603"/>
      <c r="EJ32" s="603"/>
      <c r="EK32" s="603"/>
      <c r="EL32" s="603"/>
      <c r="EM32" s="603"/>
      <c r="EN32" s="603"/>
      <c r="EO32" s="603"/>
      <c r="EP32" s="603"/>
      <c r="EQ32" s="603"/>
      <c r="ER32" s="603"/>
      <c r="ES32" s="603"/>
      <c r="ET32" s="603"/>
      <c r="EU32" s="603"/>
      <c r="EV32" s="603"/>
    </row>
    <row r="33" spans="1:152" s="605" customFormat="1" ht="20.100000000000001" customHeight="1">
      <c r="A33" s="635" t="s">
        <v>2515</v>
      </c>
      <c r="B33" s="627">
        <f>'예산세출(백마)'!Q22</f>
        <v>24535000</v>
      </c>
      <c r="C33" s="636">
        <f t="shared" si="3"/>
        <v>2.8143329440182318E-3</v>
      </c>
      <c r="D33" s="627">
        <f>'예산세출(백마)'!R22</f>
        <v>19370000</v>
      </c>
      <c r="E33" s="636">
        <f t="shared" si="4"/>
        <v>3.3251614814804641E-3</v>
      </c>
      <c r="F33" s="627">
        <f t="shared" si="5"/>
        <v>5165000</v>
      </c>
      <c r="G33" s="637">
        <f t="shared" si="2"/>
        <v>0.26664945792462569</v>
      </c>
      <c r="H33" s="602"/>
      <c r="I33" s="602"/>
      <c r="J33" s="602"/>
      <c r="K33" s="602"/>
      <c r="L33" s="603"/>
      <c r="M33" s="603"/>
      <c r="N33" s="603" t="s">
        <v>2303</v>
      </c>
      <c r="O33" s="603"/>
      <c r="P33" s="604">
        <f>B83</f>
        <v>85154000</v>
      </c>
      <c r="Q33" s="603"/>
      <c r="R33" s="603"/>
      <c r="S33" s="603"/>
      <c r="T33" s="603"/>
      <c r="U33" s="603"/>
      <c r="V33" s="603"/>
      <c r="W33" s="603"/>
      <c r="X33" s="603"/>
      <c r="Y33" s="603"/>
      <c r="Z33" s="603"/>
      <c r="AA33" s="603"/>
      <c r="AB33" s="603"/>
      <c r="AC33" s="603"/>
      <c r="AD33" s="603"/>
      <c r="AE33" s="603"/>
      <c r="AF33" s="603"/>
      <c r="AG33" s="603"/>
      <c r="AH33" s="603"/>
      <c r="AI33" s="603"/>
      <c r="AJ33" s="603"/>
      <c r="AK33" s="603"/>
      <c r="AL33" s="603"/>
      <c r="AM33" s="603"/>
      <c r="AN33" s="603"/>
      <c r="AO33" s="603"/>
      <c r="AP33" s="603"/>
      <c r="AQ33" s="603"/>
      <c r="AR33" s="603"/>
      <c r="AS33" s="603"/>
      <c r="AT33" s="603"/>
      <c r="AU33" s="603"/>
      <c r="AV33" s="603"/>
      <c r="AW33" s="603"/>
      <c r="AX33" s="603"/>
      <c r="AY33" s="603"/>
      <c r="AZ33" s="603"/>
      <c r="BA33" s="603"/>
      <c r="BB33" s="603"/>
      <c r="BC33" s="603"/>
      <c r="BD33" s="603"/>
      <c r="BE33" s="603"/>
      <c r="BF33" s="603"/>
      <c r="BG33" s="603"/>
      <c r="BH33" s="603"/>
      <c r="BI33" s="603"/>
      <c r="BJ33" s="603"/>
      <c r="BK33" s="603"/>
      <c r="BL33" s="603"/>
      <c r="BM33" s="603"/>
      <c r="BN33" s="603"/>
      <c r="BO33" s="603"/>
      <c r="BP33" s="603"/>
      <c r="BQ33" s="603"/>
      <c r="BR33" s="603"/>
      <c r="BS33" s="603"/>
      <c r="BT33" s="603"/>
      <c r="BU33" s="603"/>
      <c r="BV33" s="603"/>
      <c r="BW33" s="603"/>
      <c r="BX33" s="603"/>
      <c r="BY33" s="603"/>
      <c r="BZ33" s="603"/>
      <c r="CA33" s="603"/>
      <c r="CB33" s="603"/>
      <c r="CC33" s="603"/>
      <c r="CD33" s="603"/>
      <c r="CE33" s="603"/>
      <c r="CF33" s="603"/>
      <c r="CG33" s="603"/>
      <c r="CH33" s="603"/>
      <c r="CI33" s="603"/>
      <c r="CJ33" s="603"/>
      <c r="CK33" s="603"/>
      <c r="CL33" s="603"/>
      <c r="CM33" s="603"/>
      <c r="CN33" s="603"/>
      <c r="CO33" s="603"/>
      <c r="CP33" s="603"/>
      <c r="CQ33" s="603"/>
      <c r="CR33" s="603"/>
      <c r="CS33" s="603"/>
      <c r="CT33" s="603"/>
      <c r="CU33" s="603"/>
      <c r="CV33" s="603"/>
      <c r="CW33" s="603"/>
      <c r="CX33" s="603"/>
      <c r="CY33" s="603"/>
      <c r="CZ33" s="603"/>
      <c r="DA33" s="603"/>
      <c r="DB33" s="603"/>
      <c r="DC33" s="603"/>
      <c r="DD33" s="603"/>
      <c r="DE33" s="603"/>
      <c r="DF33" s="603"/>
      <c r="DG33" s="603"/>
      <c r="DH33" s="603"/>
      <c r="DI33" s="603"/>
      <c r="DJ33" s="603"/>
      <c r="DK33" s="603"/>
      <c r="DL33" s="603"/>
      <c r="DM33" s="603"/>
      <c r="DN33" s="603"/>
      <c r="DO33" s="603"/>
      <c r="DP33" s="603"/>
      <c r="DQ33" s="603"/>
      <c r="DR33" s="603"/>
      <c r="DS33" s="603"/>
      <c r="DT33" s="603"/>
      <c r="DU33" s="603"/>
      <c r="DV33" s="603"/>
      <c r="DW33" s="603"/>
      <c r="DX33" s="603"/>
      <c r="DY33" s="603"/>
      <c r="DZ33" s="603"/>
      <c r="EA33" s="603"/>
      <c r="EB33" s="603"/>
      <c r="EC33" s="603"/>
      <c r="ED33" s="603"/>
      <c r="EE33" s="603"/>
      <c r="EF33" s="603"/>
      <c r="EG33" s="603"/>
      <c r="EH33" s="603"/>
      <c r="EI33" s="603"/>
      <c r="EJ33" s="603"/>
      <c r="EK33" s="603"/>
      <c r="EL33" s="603"/>
      <c r="EM33" s="603"/>
      <c r="EN33" s="603"/>
      <c r="EO33" s="603"/>
      <c r="EP33" s="603"/>
      <c r="EQ33" s="603"/>
      <c r="ER33" s="603"/>
      <c r="ES33" s="603"/>
      <c r="ET33" s="603"/>
      <c r="EU33" s="603"/>
      <c r="EV33" s="603"/>
    </row>
    <row r="34" spans="1:152" s="605" customFormat="1" ht="20.100000000000001" customHeight="1">
      <c r="A34" s="642" t="s">
        <v>2516</v>
      </c>
      <c r="B34" s="643">
        <f>'예산세출(능곡)'!Q14</f>
        <v>19670000</v>
      </c>
      <c r="C34" s="644">
        <f t="shared" si="3"/>
        <v>2.2562840435638321E-3</v>
      </c>
      <c r="D34" s="643">
        <f>'예산세출(능곡)'!R14+'예산세출(능곡)'!R73</f>
        <v>17150000</v>
      </c>
      <c r="E34" s="636">
        <f t="shared" si="4"/>
        <v>2.9440639859261725E-3</v>
      </c>
      <c r="F34" s="627">
        <f t="shared" si="5"/>
        <v>2520000</v>
      </c>
      <c r="G34" s="645">
        <f t="shared" si="2"/>
        <v>0.14693877551020409</v>
      </c>
      <c r="H34" s="602"/>
      <c r="I34" s="602"/>
      <c r="J34" s="602"/>
      <c r="K34" s="602"/>
      <c r="L34" s="603"/>
      <c r="M34" s="603"/>
      <c r="N34" s="603" t="s">
        <v>2304</v>
      </c>
      <c r="O34" s="603"/>
      <c r="P34" s="604">
        <f>B55</f>
        <v>20000000</v>
      </c>
      <c r="Q34" s="603"/>
      <c r="R34" s="603"/>
      <c r="S34" s="603"/>
      <c r="T34" s="603"/>
      <c r="U34" s="603"/>
      <c r="V34" s="603"/>
      <c r="W34" s="603"/>
      <c r="X34" s="603"/>
      <c r="Y34" s="603"/>
      <c r="Z34" s="603"/>
      <c r="AA34" s="603"/>
      <c r="AB34" s="603"/>
      <c r="AC34" s="603"/>
      <c r="AD34" s="603"/>
      <c r="AE34" s="603"/>
      <c r="AF34" s="603"/>
      <c r="AG34" s="603"/>
      <c r="AH34" s="603"/>
      <c r="AI34" s="603"/>
      <c r="AJ34" s="603"/>
      <c r="AK34" s="603"/>
      <c r="AL34" s="603"/>
      <c r="AM34" s="603"/>
      <c r="AN34" s="603"/>
      <c r="AO34" s="603"/>
      <c r="AP34" s="603"/>
      <c r="AQ34" s="603"/>
      <c r="AR34" s="603"/>
      <c r="AS34" s="603"/>
      <c r="AT34" s="603"/>
      <c r="AU34" s="603"/>
      <c r="AV34" s="603"/>
      <c r="AW34" s="603"/>
      <c r="AX34" s="603"/>
      <c r="AY34" s="603"/>
      <c r="AZ34" s="603"/>
      <c r="BA34" s="603"/>
      <c r="BB34" s="603"/>
      <c r="BC34" s="603"/>
      <c r="BD34" s="603"/>
      <c r="BE34" s="603"/>
      <c r="BF34" s="603"/>
      <c r="BG34" s="603"/>
      <c r="BH34" s="603"/>
      <c r="BI34" s="603"/>
      <c r="BJ34" s="603"/>
      <c r="BK34" s="603"/>
      <c r="BL34" s="603"/>
      <c r="BM34" s="603"/>
      <c r="BN34" s="603"/>
      <c r="BO34" s="603"/>
      <c r="BP34" s="603"/>
      <c r="BQ34" s="603"/>
      <c r="BR34" s="603"/>
      <c r="BS34" s="603"/>
      <c r="BT34" s="603"/>
      <c r="BU34" s="603"/>
      <c r="BV34" s="603"/>
      <c r="BW34" s="603"/>
      <c r="BX34" s="603"/>
      <c r="BY34" s="603"/>
      <c r="BZ34" s="603"/>
      <c r="CA34" s="603"/>
      <c r="CB34" s="603"/>
      <c r="CC34" s="603"/>
      <c r="CD34" s="603"/>
      <c r="CE34" s="603"/>
      <c r="CF34" s="603"/>
      <c r="CG34" s="603"/>
      <c r="CH34" s="603"/>
      <c r="CI34" s="603"/>
      <c r="CJ34" s="603"/>
      <c r="CK34" s="603"/>
      <c r="CL34" s="603"/>
      <c r="CM34" s="603"/>
      <c r="CN34" s="603"/>
      <c r="CO34" s="603"/>
      <c r="CP34" s="603"/>
      <c r="CQ34" s="603"/>
      <c r="CR34" s="603"/>
      <c r="CS34" s="603"/>
      <c r="CT34" s="603"/>
      <c r="CU34" s="603"/>
      <c r="CV34" s="603"/>
      <c r="CW34" s="603"/>
      <c r="CX34" s="603"/>
      <c r="CY34" s="603"/>
      <c r="CZ34" s="603"/>
      <c r="DA34" s="603"/>
      <c r="DB34" s="603"/>
      <c r="DC34" s="603"/>
      <c r="DD34" s="603"/>
      <c r="DE34" s="603"/>
      <c r="DF34" s="603"/>
      <c r="DG34" s="603"/>
      <c r="DH34" s="603"/>
      <c r="DI34" s="603"/>
      <c r="DJ34" s="603"/>
      <c r="DK34" s="603"/>
      <c r="DL34" s="603"/>
      <c r="DM34" s="603"/>
      <c r="DN34" s="603"/>
      <c r="DO34" s="603"/>
      <c r="DP34" s="603"/>
      <c r="DQ34" s="603"/>
      <c r="DR34" s="603"/>
      <c r="DS34" s="603"/>
      <c r="DT34" s="603"/>
      <c r="DU34" s="603"/>
      <c r="DV34" s="603"/>
      <c r="DW34" s="603"/>
      <c r="DX34" s="603"/>
      <c r="DY34" s="603"/>
      <c r="DZ34" s="603"/>
      <c r="EA34" s="603"/>
      <c r="EB34" s="603"/>
      <c r="EC34" s="603"/>
      <c r="ED34" s="603"/>
      <c r="EE34" s="603"/>
      <c r="EF34" s="603"/>
      <c r="EG34" s="603"/>
      <c r="EH34" s="603"/>
      <c r="EI34" s="603"/>
      <c r="EJ34" s="603"/>
      <c r="EK34" s="603"/>
      <c r="EL34" s="603"/>
      <c r="EM34" s="603"/>
      <c r="EN34" s="603"/>
      <c r="EO34" s="603"/>
      <c r="EP34" s="603"/>
      <c r="EQ34" s="603"/>
      <c r="ER34" s="603"/>
      <c r="ES34" s="603"/>
      <c r="ET34" s="603"/>
      <c r="EU34" s="603"/>
      <c r="EV34" s="603"/>
    </row>
    <row r="35" spans="1:152" s="605" customFormat="1" ht="20.100000000000001" customHeight="1">
      <c r="A35" s="646" t="s">
        <v>60</v>
      </c>
      <c r="B35" s="647">
        <f>SUM(B36:B46)</f>
        <v>1455137000</v>
      </c>
      <c r="C35" s="648">
        <f t="shared" si="3"/>
        <v>0.16691420408232557</v>
      </c>
      <c r="D35" s="647">
        <f>SUM(D36:D46)</f>
        <v>1161504000</v>
      </c>
      <c r="E35" s="648">
        <f t="shared" si="4"/>
        <v>0.19939020967400542</v>
      </c>
      <c r="F35" s="647">
        <f>SUM(F36:F46)</f>
        <v>293633000</v>
      </c>
      <c r="G35" s="649">
        <f t="shared" si="2"/>
        <v>0.25280412293026971</v>
      </c>
      <c r="H35" s="650"/>
      <c r="I35" s="650"/>
      <c r="J35" s="650"/>
      <c r="K35" s="650"/>
      <c r="L35" s="603"/>
      <c r="M35" s="603"/>
      <c r="N35" s="603"/>
      <c r="O35" s="603"/>
      <c r="P35" s="603"/>
      <c r="Q35" s="603"/>
      <c r="R35" s="603"/>
      <c r="S35" s="603"/>
      <c r="T35" s="603"/>
      <c r="U35" s="603"/>
      <c r="V35" s="603"/>
      <c r="W35" s="603"/>
      <c r="X35" s="603"/>
      <c r="Y35" s="603"/>
      <c r="Z35" s="603"/>
      <c r="AA35" s="603"/>
      <c r="AB35" s="603"/>
      <c r="AC35" s="603"/>
      <c r="AD35" s="603"/>
      <c r="AE35" s="603"/>
      <c r="AF35" s="603"/>
      <c r="AG35" s="603"/>
      <c r="AH35" s="603"/>
      <c r="AI35" s="603"/>
      <c r="AJ35" s="603"/>
      <c r="AK35" s="603"/>
      <c r="AL35" s="603"/>
      <c r="AM35" s="603"/>
      <c r="AN35" s="603"/>
      <c r="AO35" s="603"/>
      <c r="AP35" s="603"/>
      <c r="AQ35" s="603"/>
      <c r="AR35" s="603"/>
      <c r="AS35" s="603"/>
      <c r="AT35" s="603"/>
      <c r="AU35" s="603"/>
      <c r="AV35" s="603"/>
      <c r="AW35" s="603"/>
      <c r="AX35" s="603"/>
      <c r="AY35" s="603"/>
      <c r="AZ35" s="603"/>
      <c r="BA35" s="603"/>
      <c r="BB35" s="603"/>
      <c r="BC35" s="603"/>
      <c r="BD35" s="603"/>
      <c r="BE35" s="603"/>
      <c r="BF35" s="603"/>
      <c r="BG35" s="603"/>
      <c r="BH35" s="603"/>
      <c r="BI35" s="603"/>
      <c r="BJ35" s="603"/>
      <c r="BK35" s="603"/>
      <c r="BL35" s="603"/>
      <c r="BM35" s="603"/>
      <c r="BN35" s="603"/>
      <c r="BO35" s="603"/>
      <c r="BP35" s="603"/>
      <c r="BQ35" s="603"/>
      <c r="BR35" s="603"/>
      <c r="BS35" s="603"/>
      <c r="BT35" s="603"/>
      <c r="BU35" s="603"/>
      <c r="BV35" s="603"/>
      <c r="BW35" s="603"/>
      <c r="BX35" s="603"/>
      <c r="BY35" s="603"/>
      <c r="BZ35" s="603"/>
      <c r="CA35" s="603"/>
      <c r="CB35" s="603"/>
      <c r="CC35" s="603"/>
      <c r="CD35" s="603"/>
      <c r="CE35" s="603"/>
      <c r="CF35" s="603"/>
      <c r="CG35" s="603"/>
      <c r="CH35" s="603"/>
      <c r="CI35" s="603"/>
      <c r="CJ35" s="603"/>
      <c r="CK35" s="603"/>
      <c r="CL35" s="603"/>
      <c r="CM35" s="603"/>
      <c r="CN35" s="603"/>
      <c r="CO35" s="603"/>
      <c r="CP35" s="603"/>
      <c r="CQ35" s="603"/>
      <c r="CR35" s="603"/>
      <c r="CS35" s="603"/>
      <c r="CT35" s="603"/>
      <c r="CU35" s="603"/>
      <c r="CV35" s="603"/>
      <c r="CW35" s="603"/>
      <c r="CX35" s="603"/>
      <c r="CY35" s="603"/>
      <c r="CZ35" s="603"/>
      <c r="DA35" s="603"/>
      <c r="DB35" s="603"/>
      <c r="DC35" s="603"/>
      <c r="DD35" s="603"/>
      <c r="DE35" s="603"/>
      <c r="DF35" s="603"/>
      <c r="DG35" s="603"/>
      <c r="DH35" s="603"/>
      <c r="DI35" s="603"/>
      <c r="DJ35" s="603"/>
      <c r="DK35" s="603"/>
      <c r="DL35" s="603"/>
      <c r="DM35" s="603"/>
      <c r="DN35" s="603"/>
      <c r="DO35" s="603"/>
      <c r="DP35" s="603"/>
      <c r="DQ35" s="603"/>
      <c r="DR35" s="603"/>
      <c r="DS35" s="603"/>
      <c r="DT35" s="603"/>
      <c r="DU35" s="603"/>
      <c r="DV35" s="603"/>
      <c r="DW35" s="603"/>
      <c r="DX35" s="603"/>
      <c r="DY35" s="603"/>
      <c r="DZ35" s="603"/>
      <c r="EA35" s="603"/>
      <c r="EB35" s="603"/>
      <c r="EC35" s="603"/>
      <c r="ED35" s="603"/>
      <c r="EE35" s="603"/>
      <c r="EF35" s="603"/>
      <c r="EG35" s="603"/>
      <c r="EH35" s="603"/>
      <c r="EI35" s="603"/>
      <c r="EJ35" s="603"/>
      <c r="EK35" s="603"/>
      <c r="EL35" s="603"/>
      <c r="EM35" s="603"/>
      <c r="EN35" s="603"/>
      <c r="EO35" s="603"/>
      <c r="EP35" s="603"/>
      <c r="EQ35" s="603"/>
      <c r="ER35" s="603"/>
      <c r="ES35" s="603"/>
      <c r="ET35" s="603"/>
      <c r="EU35" s="603"/>
      <c r="EV35" s="603"/>
    </row>
    <row r="36" spans="1:152" s="605" customFormat="1" ht="20.100000000000001" customHeight="1">
      <c r="A36" s="624" t="s">
        <v>21</v>
      </c>
      <c r="B36" s="625">
        <f>'예산세출(사무국)'!Q188</f>
        <v>990980000</v>
      </c>
      <c r="C36" s="626">
        <f t="shared" si="3"/>
        <v>0.11367220953181933</v>
      </c>
      <c r="D36" s="625">
        <f>'예산세출(사무국)'!R184</f>
        <v>953000000</v>
      </c>
      <c r="E36" s="626">
        <f t="shared" si="4"/>
        <v>0.16359725822668469</v>
      </c>
      <c r="F36" s="627">
        <f>+B36-D36</f>
        <v>37980000</v>
      </c>
      <c r="G36" s="628">
        <f t="shared" si="2"/>
        <v>3.9853095487932845E-2</v>
      </c>
      <c r="H36" s="602"/>
      <c r="I36" s="602"/>
      <c r="J36" s="602"/>
      <c r="K36" s="602"/>
      <c r="L36" s="603"/>
      <c r="M36" s="603"/>
      <c r="N36" s="603"/>
      <c r="O36" s="603"/>
      <c r="P36" s="603"/>
      <c r="Q36" s="603"/>
      <c r="R36" s="603"/>
      <c r="S36" s="603"/>
      <c r="T36" s="603"/>
      <c r="U36" s="603"/>
      <c r="V36" s="603"/>
      <c r="W36" s="603"/>
      <c r="X36" s="603"/>
      <c r="Y36" s="603"/>
      <c r="Z36" s="603"/>
      <c r="AA36" s="603"/>
      <c r="AB36" s="603"/>
      <c r="AC36" s="603"/>
      <c r="AD36" s="603"/>
      <c r="AE36" s="603"/>
      <c r="AF36" s="603"/>
      <c r="AG36" s="603"/>
      <c r="AH36" s="603"/>
      <c r="AI36" s="603"/>
      <c r="AJ36" s="603"/>
      <c r="AK36" s="603"/>
      <c r="AL36" s="603"/>
      <c r="AM36" s="603"/>
      <c r="AN36" s="603"/>
      <c r="AO36" s="603"/>
      <c r="AP36" s="603"/>
      <c r="AQ36" s="603"/>
      <c r="AR36" s="603"/>
      <c r="AS36" s="603"/>
      <c r="AT36" s="603"/>
      <c r="AU36" s="603"/>
      <c r="AV36" s="603"/>
      <c r="AW36" s="603"/>
      <c r="AX36" s="603"/>
      <c r="AY36" s="603"/>
      <c r="AZ36" s="603"/>
      <c r="BA36" s="603"/>
      <c r="BB36" s="603"/>
      <c r="BC36" s="603"/>
      <c r="BD36" s="603"/>
      <c r="BE36" s="603"/>
      <c r="BF36" s="603"/>
      <c r="BG36" s="603"/>
      <c r="BH36" s="603"/>
      <c r="BI36" s="603"/>
      <c r="BJ36" s="603"/>
      <c r="BK36" s="603"/>
      <c r="BL36" s="603"/>
      <c r="BM36" s="603"/>
      <c r="BN36" s="603"/>
      <c r="BO36" s="603"/>
      <c r="BP36" s="603"/>
      <c r="BQ36" s="603"/>
      <c r="BR36" s="603"/>
      <c r="BS36" s="603"/>
      <c r="BT36" s="603"/>
      <c r="BU36" s="603"/>
      <c r="BV36" s="603"/>
      <c r="BW36" s="603"/>
      <c r="BX36" s="603"/>
      <c r="BY36" s="603"/>
      <c r="BZ36" s="603"/>
      <c r="CA36" s="603"/>
      <c r="CB36" s="603"/>
      <c r="CC36" s="603"/>
      <c r="CD36" s="603"/>
      <c r="CE36" s="603"/>
      <c r="CF36" s="603"/>
      <c r="CG36" s="603"/>
      <c r="CH36" s="603"/>
      <c r="CI36" s="603"/>
      <c r="CJ36" s="603"/>
      <c r="CK36" s="603"/>
      <c r="CL36" s="603"/>
      <c r="CM36" s="603"/>
      <c r="CN36" s="603"/>
      <c r="CO36" s="603"/>
      <c r="CP36" s="603"/>
      <c r="CQ36" s="603"/>
      <c r="CR36" s="603"/>
      <c r="CS36" s="603"/>
      <c r="CT36" s="603"/>
      <c r="CU36" s="603"/>
      <c r="CV36" s="603"/>
      <c r="CW36" s="603"/>
      <c r="CX36" s="603"/>
      <c r="CY36" s="603"/>
      <c r="CZ36" s="603"/>
      <c r="DA36" s="603"/>
      <c r="DB36" s="603"/>
      <c r="DC36" s="603"/>
      <c r="DD36" s="603"/>
      <c r="DE36" s="603"/>
      <c r="DF36" s="603"/>
      <c r="DG36" s="603"/>
      <c r="DH36" s="603"/>
      <c r="DI36" s="603"/>
      <c r="DJ36" s="603"/>
      <c r="DK36" s="603"/>
      <c r="DL36" s="603"/>
      <c r="DM36" s="603"/>
      <c r="DN36" s="603"/>
      <c r="DO36" s="603"/>
      <c r="DP36" s="603"/>
      <c r="DQ36" s="603"/>
      <c r="DR36" s="603"/>
      <c r="DS36" s="603"/>
      <c r="DT36" s="603"/>
      <c r="DU36" s="603"/>
      <c r="DV36" s="603"/>
      <c r="DW36" s="603"/>
      <c r="DX36" s="603"/>
      <c r="DY36" s="603"/>
      <c r="DZ36" s="603"/>
      <c r="EA36" s="603"/>
      <c r="EB36" s="603"/>
      <c r="EC36" s="603"/>
      <c r="ED36" s="603"/>
      <c r="EE36" s="603"/>
      <c r="EF36" s="603"/>
      <c r="EG36" s="603"/>
      <c r="EH36" s="603"/>
      <c r="EI36" s="603"/>
      <c r="EJ36" s="603"/>
      <c r="EK36" s="603"/>
      <c r="EL36" s="603"/>
      <c r="EM36" s="603"/>
      <c r="EN36" s="603"/>
      <c r="EO36" s="603"/>
      <c r="EP36" s="603"/>
      <c r="EQ36" s="603"/>
      <c r="ER36" s="603"/>
      <c r="ES36" s="603"/>
      <c r="ET36" s="603"/>
      <c r="EU36" s="603"/>
      <c r="EV36" s="603"/>
    </row>
    <row r="37" spans="1:152" s="605" customFormat="1" ht="20.100000000000001" customHeight="1">
      <c r="A37" s="635" t="s">
        <v>22</v>
      </c>
      <c r="B37" s="627">
        <f>'예산세출(마두)'!Q133</f>
        <v>65000000</v>
      </c>
      <c r="C37" s="636">
        <f t="shared" si="3"/>
        <v>7.4559462547864304E-3</v>
      </c>
      <c r="D37" s="627">
        <f>'예산세출(마두)'!R133</f>
        <v>65000000</v>
      </c>
      <c r="E37" s="626">
        <f t="shared" si="4"/>
        <v>1.1158260004968001E-2</v>
      </c>
      <c r="F37" s="627">
        <f t="shared" ref="F37:F46" si="6">+B37-D37</f>
        <v>0</v>
      </c>
      <c r="G37" s="637">
        <f t="shared" si="2"/>
        <v>0</v>
      </c>
      <c r="H37" s="602"/>
      <c r="I37" s="602"/>
      <c r="J37" s="602"/>
      <c r="K37" s="602"/>
      <c r="L37" s="603"/>
      <c r="M37" s="603"/>
      <c r="N37" s="603"/>
      <c r="O37" s="603"/>
      <c r="P37" s="603"/>
      <c r="Q37" s="603"/>
      <c r="R37" s="603"/>
      <c r="S37" s="603"/>
      <c r="T37" s="603"/>
      <c r="U37" s="603"/>
      <c r="V37" s="603"/>
      <c r="W37" s="603"/>
      <c r="X37" s="603"/>
      <c r="Y37" s="603"/>
      <c r="Z37" s="603"/>
      <c r="AA37" s="603"/>
      <c r="AB37" s="603"/>
      <c r="AC37" s="603"/>
      <c r="AD37" s="603"/>
      <c r="AE37" s="603"/>
      <c r="AF37" s="603"/>
      <c r="AG37" s="603"/>
      <c r="AH37" s="603"/>
      <c r="AI37" s="603"/>
      <c r="AJ37" s="603"/>
      <c r="AK37" s="603"/>
      <c r="AL37" s="603"/>
      <c r="AM37" s="603"/>
      <c r="AN37" s="603"/>
      <c r="AO37" s="603"/>
      <c r="AP37" s="603"/>
      <c r="AQ37" s="603"/>
      <c r="AR37" s="603"/>
      <c r="AS37" s="603"/>
      <c r="AT37" s="603"/>
      <c r="AU37" s="603"/>
      <c r="AV37" s="603"/>
      <c r="AW37" s="603"/>
      <c r="AX37" s="603"/>
      <c r="AY37" s="603"/>
      <c r="AZ37" s="603"/>
      <c r="BA37" s="603"/>
      <c r="BB37" s="603"/>
      <c r="BC37" s="603"/>
      <c r="BD37" s="603"/>
      <c r="BE37" s="603"/>
      <c r="BF37" s="603"/>
      <c r="BG37" s="603"/>
      <c r="BH37" s="603"/>
      <c r="BI37" s="603"/>
      <c r="BJ37" s="603"/>
      <c r="BK37" s="603"/>
      <c r="BL37" s="603"/>
      <c r="BM37" s="603"/>
      <c r="BN37" s="603"/>
      <c r="BO37" s="603"/>
      <c r="BP37" s="603"/>
      <c r="BQ37" s="603"/>
      <c r="BR37" s="603"/>
      <c r="BS37" s="603"/>
      <c r="BT37" s="603"/>
      <c r="BU37" s="603"/>
      <c r="BV37" s="603"/>
      <c r="BW37" s="603"/>
      <c r="BX37" s="603"/>
      <c r="BY37" s="603"/>
      <c r="BZ37" s="603"/>
      <c r="CA37" s="603"/>
      <c r="CB37" s="603"/>
      <c r="CC37" s="603"/>
      <c r="CD37" s="603"/>
      <c r="CE37" s="603"/>
      <c r="CF37" s="603"/>
      <c r="CG37" s="603"/>
      <c r="CH37" s="603"/>
      <c r="CI37" s="603"/>
      <c r="CJ37" s="603"/>
      <c r="CK37" s="603"/>
      <c r="CL37" s="603"/>
      <c r="CM37" s="603"/>
      <c r="CN37" s="603"/>
      <c r="CO37" s="603"/>
      <c r="CP37" s="603"/>
      <c r="CQ37" s="603"/>
      <c r="CR37" s="603"/>
      <c r="CS37" s="603"/>
      <c r="CT37" s="603"/>
      <c r="CU37" s="603"/>
      <c r="CV37" s="603"/>
      <c r="CW37" s="603"/>
      <c r="CX37" s="603"/>
      <c r="CY37" s="603"/>
      <c r="CZ37" s="603"/>
      <c r="DA37" s="603"/>
      <c r="DB37" s="603"/>
      <c r="DC37" s="603"/>
      <c r="DD37" s="603"/>
      <c r="DE37" s="603"/>
      <c r="DF37" s="603"/>
      <c r="DG37" s="603"/>
      <c r="DH37" s="603"/>
      <c r="DI37" s="603"/>
      <c r="DJ37" s="603"/>
      <c r="DK37" s="603"/>
      <c r="DL37" s="603"/>
      <c r="DM37" s="603"/>
      <c r="DN37" s="603"/>
      <c r="DO37" s="603"/>
      <c r="DP37" s="603"/>
      <c r="DQ37" s="603"/>
      <c r="DR37" s="603"/>
      <c r="DS37" s="603"/>
      <c r="DT37" s="603"/>
      <c r="DU37" s="603"/>
      <c r="DV37" s="603"/>
      <c r="DW37" s="603"/>
      <c r="DX37" s="603"/>
      <c r="DY37" s="603"/>
      <c r="DZ37" s="603"/>
      <c r="EA37" s="603"/>
      <c r="EB37" s="603"/>
      <c r="EC37" s="603"/>
      <c r="ED37" s="603"/>
      <c r="EE37" s="603"/>
      <c r="EF37" s="603"/>
      <c r="EG37" s="603"/>
      <c r="EH37" s="603"/>
      <c r="EI37" s="603"/>
      <c r="EJ37" s="603"/>
      <c r="EK37" s="603"/>
      <c r="EL37" s="603"/>
      <c r="EM37" s="603"/>
      <c r="EN37" s="603"/>
      <c r="EO37" s="603"/>
      <c r="EP37" s="603"/>
      <c r="EQ37" s="603"/>
      <c r="ER37" s="603"/>
      <c r="ES37" s="603"/>
      <c r="ET37" s="603"/>
      <c r="EU37" s="603"/>
      <c r="EV37" s="603"/>
    </row>
    <row r="38" spans="1:152" s="605" customFormat="1" ht="20.100000000000001" customHeight="1">
      <c r="A38" s="635" t="s">
        <v>23</v>
      </c>
      <c r="B38" s="627">
        <f>'예산세출(진로)'!Q100</f>
        <v>102000000</v>
      </c>
      <c r="C38" s="636">
        <f t="shared" si="3"/>
        <v>1.1700100276741784E-2</v>
      </c>
      <c r="D38" s="627">
        <f>'예산세출(진로)'!R100</f>
        <v>15000000</v>
      </c>
      <c r="E38" s="626">
        <f t="shared" si="4"/>
        <v>2.5749830780695386E-3</v>
      </c>
      <c r="F38" s="627">
        <f t="shared" si="6"/>
        <v>87000000</v>
      </c>
      <c r="G38" s="637">
        <f t="shared" si="2"/>
        <v>5.8</v>
      </c>
      <c r="H38" s="602"/>
      <c r="I38" s="602"/>
      <c r="J38" s="602"/>
      <c r="K38" s="602"/>
      <c r="L38" s="629" t="s">
        <v>1623</v>
      </c>
      <c r="M38" s="604">
        <f>SUMIFS($B$23:$B$57,$A$23:$A$57,"사무국")</f>
        <v>1354886000</v>
      </c>
      <c r="N38" s="604">
        <f>SUMIFS($B$36:$B$46,$A$36:$A$46,"사무국")</f>
        <v>990980000</v>
      </c>
      <c r="O38" s="604"/>
      <c r="P38" s="604">
        <f>M38-N38</f>
        <v>363906000</v>
      </c>
      <c r="Q38" s="603"/>
      <c r="R38" s="603"/>
      <c r="S38" s="604">
        <f>SUMIFS($D$23:$D$57,$A$23:$A$57,"사무국")</f>
        <v>1230706000</v>
      </c>
      <c r="T38" s="604">
        <f>SUMIFS($D$36:$D$46,$A$36:$A$46,"사무국")</f>
        <v>953000000</v>
      </c>
      <c r="U38" s="604"/>
      <c r="V38" s="604">
        <f>S38-T38</f>
        <v>277706000</v>
      </c>
      <c r="W38" s="603"/>
      <c r="X38" s="603"/>
      <c r="Y38" s="603"/>
      <c r="Z38" s="603"/>
      <c r="AA38" s="603"/>
      <c r="AB38" s="603"/>
      <c r="AC38" s="603"/>
      <c r="AD38" s="603"/>
      <c r="AE38" s="603"/>
      <c r="AF38" s="603"/>
      <c r="AG38" s="603"/>
      <c r="AH38" s="603"/>
      <c r="AI38" s="603"/>
      <c r="AJ38" s="603"/>
      <c r="AK38" s="603"/>
      <c r="AL38" s="603"/>
      <c r="AM38" s="603"/>
      <c r="AN38" s="603"/>
      <c r="AO38" s="603"/>
      <c r="AP38" s="603"/>
      <c r="AQ38" s="603"/>
      <c r="AR38" s="603"/>
      <c r="AS38" s="603"/>
      <c r="AT38" s="603"/>
      <c r="AU38" s="603"/>
      <c r="AV38" s="603"/>
      <c r="AW38" s="603"/>
      <c r="AX38" s="603"/>
      <c r="AY38" s="603"/>
      <c r="AZ38" s="603"/>
      <c r="BA38" s="603"/>
      <c r="BB38" s="603"/>
      <c r="BC38" s="603"/>
      <c r="BD38" s="603"/>
      <c r="BE38" s="603"/>
      <c r="BF38" s="603"/>
      <c r="BG38" s="603"/>
      <c r="BH38" s="603"/>
      <c r="BI38" s="603"/>
      <c r="BJ38" s="603"/>
      <c r="BK38" s="603"/>
      <c r="BL38" s="603"/>
      <c r="BM38" s="603"/>
      <c r="BN38" s="603"/>
      <c r="BO38" s="603"/>
      <c r="BP38" s="603"/>
      <c r="BQ38" s="603"/>
      <c r="BR38" s="603"/>
      <c r="BS38" s="603"/>
      <c r="BT38" s="603"/>
      <c r="BU38" s="603"/>
      <c r="BV38" s="603"/>
      <c r="BW38" s="603"/>
      <c r="BX38" s="603"/>
      <c r="BY38" s="603"/>
      <c r="BZ38" s="603"/>
      <c r="CA38" s="603"/>
      <c r="CB38" s="603"/>
      <c r="CC38" s="603"/>
      <c r="CD38" s="603"/>
      <c r="CE38" s="603"/>
      <c r="CF38" s="603"/>
      <c r="CG38" s="603"/>
      <c r="CH38" s="603"/>
      <c r="CI38" s="603"/>
      <c r="CJ38" s="603"/>
      <c r="CK38" s="603"/>
      <c r="CL38" s="603"/>
      <c r="CM38" s="603"/>
      <c r="CN38" s="603"/>
      <c r="CO38" s="603"/>
      <c r="CP38" s="603"/>
      <c r="CQ38" s="603"/>
      <c r="CR38" s="603"/>
      <c r="CS38" s="603"/>
      <c r="CT38" s="603"/>
      <c r="CU38" s="603"/>
      <c r="CV38" s="603"/>
      <c r="CW38" s="603"/>
      <c r="CX38" s="603"/>
      <c r="CY38" s="603"/>
      <c r="CZ38" s="603"/>
      <c r="DA38" s="603"/>
      <c r="DB38" s="603"/>
      <c r="DC38" s="603"/>
      <c r="DD38" s="603"/>
      <c r="DE38" s="603"/>
      <c r="DF38" s="603"/>
      <c r="DG38" s="603"/>
      <c r="DH38" s="603"/>
      <c r="DI38" s="603"/>
      <c r="DJ38" s="603"/>
      <c r="DK38" s="603"/>
      <c r="DL38" s="603"/>
      <c r="DM38" s="603"/>
      <c r="DN38" s="603"/>
      <c r="DO38" s="603"/>
      <c r="DP38" s="603"/>
      <c r="DQ38" s="603"/>
      <c r="DR38" s="603"/>
      <c r="DS38" s="603"/>
      <c r="DT38" s="603"/>
      <c r="DU38" s="603"/>
      <c r="DV38" s="603"/>
      <c r="DW38" s="603"/>
      <c r="DX38" s="603"/>
      <c r="DY38" s="603"/>
      <c r="DZ38" s="603"/>
      <c r="EA38" s="603"/>
      <c r="EB38" s="603"/>
      <c r="EC38" s="603"/>
      <c r="ED38" s="603"/>
      <c r="EE38" s="603"/>
      <c r="EF38" s="603"/>
      <c r="EG38" s="603"/>
      <c r="EH38" s="603"/>
      <c r="EI38" s="603"/>
      <c r="EJ38" s="603"/>
      <c r="EK38" s="603"/>
      <c r="EL38" s="603"/>
      <c r="EM38" s="603"/>
      <c r="EN38" s="603"/>
      <c r="EO38" s="603"/>
      <c r="EP38" s="603"/>
      <c r="EQ38" s="603"/>
      <c r="ER38" s="603"/>
      <c r="ES38" s="603"/>
      <c r="ET38" s="603"/>
      <c r="EU38" s="603"/>
      <c r="EV38" s="603"/>
    </row>
    <row r="39" spans="1:152" s="605" customFormat="1" ht="20.100000000000001" customHeight="1">
      <c r="A39" s="635" t="s">
        <v>24</v>
      </c>
      <c r="B39" s="627">
        <f>'예산세출(성사)'!R121</f>
        <v>52600000</v>
      </c>
      <c r="C39" s="636">
        <f t="shared" si="3"/>
        <v>6.033581123104096E-3</v>
      </c>
      <c r="D39" s="627">
        <f>'예산세출(성사)'!S121</f>
        <v>41400000</v>
      </c>
      <c r="E39" s="626">
        <f t="shared" si="4"/>
        <v>7.1069532954719265E-3</v>
      </c>
      <c r="F39" s="627">
        <f t="shared" si="6"/>
        <v>11200000</v>
      </c>
      <c r="G39" s="637">
        <f t="shared" si="2"/>
        <v>0.27053140096618356</v>
      </c>
      <c r="H39" s="602"/>
      <c r="I39" s="602"/>
      <c r="J39" s="602"/>
      <c r="K39" s="602"/>
      <c r="L39" s="638" t="s">
        <v>30</v>
      </c>
      <c r="M39" s="604">
        <f>SUMIFS($B$23:$B$57,$A$23:$A$57,"마두청소년수련관")</f>
        <v>342384000</v>
      </c>
      <c r="N39" s="604">
        <f>SUMIFS($B$36:$B$46,$A$36:$A$46,"마두청소년수련관")</f>
        <v>65000000</v>
      </c>
      <c r="O39" s="604"/>
      <c r="P39" s="604">
        <f t="shared" ref="P39:P49" si="7">M39-N39</f>
        <v>277384000</v>
      </c>
      <c r="Q39" s="603"/>
      <c r="R39" s="603"/>
      <c r="S39" s="604">
        <f>SUMIFS($D$23:$D$57,$A$23:$A$57,"마두청소년수련관")</f>
        <v>359029000</v>
      </c>
      <c r="T39" s="604">
        <f>SUMIFS($D$36:$D$46,$A$36:$A$46,"마두청소년수련관")</f>
        <v>65000000</v>
      </c>
      <c r="U39" s="604"/>
      <c r="V39" s="604">
        <f t="shared" ref="V39:V49" si="8">S39-T39</f>
        <v>294029000</v>
      </c>
      <c r="W39" s="603"/>
      <c r="X39" s="603"/>
      <c r="Y39" s="603"/>
      <c r="Z39" s="603"/>
      <c r="AA39" s="603"/>
      <c r="AB39" s="603"/>
      <c r="AC39" s="603"/>
      <c r="AD39" s="603"/>
      <c r="AE39" s="603"/>
      <c r="AF39" s="603"/>
      <c r="AG39" s="603"/>
      <c r="AH39" s="603"/>
      <c r="AI39" s="603"/>
      <c r="AJ39" s="603"/>
      <c r="AK39" s="603"/>
      <c r="AL39" s="603"/>
      <c r="AM39" s="603"/>
      <c r="AN39" s="603"/>
      <c r="AO39" s="603"/>
      <c r="AP39" s="603"/>
      <c r="AQ39" s="603"/>
      <c r="AR39" s="603"/>
      <c r="AS39" s="603"/>
      <c r="AT39" s="603"/>
      <c r="AU39" s="603"/>
      <c r="AV39" s="603"/>
      <c r="AW39" s="603"/>
      <c r="AX39" s="603"/>
      <c r="AY39" s="603"/>
      <c r="AZ39" s="603"/>
      <c r="BA39" s="603"/>
      <c r="BB39" s="603"/>
      <c r="BC39" s="603"/>
      <c r="BD39" s="603"/>
      <c r="BE39" s="603"/>
      <c r="BF39" s="603"/>
      <c r="BG39" s="603"/>
      <c r="BH39" s="603"/>
      <c r="BI39" s="603"/>
      <c r="BJ39" s="603"/>
      <c r="BK39" s="603"/>
      <c r="BL39" s="603"/>
      <c r="BM39" s="603"/>
      <c r="BN39" s="603"/>
      <c r="BO39" s="603"/>
      <c r="BP39" s="603"/>
      <c r="BQ39" s="603"/>
      <c r="BR39" s="603"/>
      <c r="BS39" s="603"/>
      <c r="BT39" s="603"/>
      <c r="BU39" s="603"/>
      <c r="BV39" s="603"/>
      <c r="BW39" s="603"/>
      <c r="BX39" s="603"/>
      <c r="BY39" s="603"/>
      <c r="BZ39" s="603"/>
      <c r="CA39" s="603"/>
      <c r="CB39" s="603"/>
      <c r="CC39" s="603"/>
      <c r="CD39" s="603"/>
      <c r="CE39" s="603"/>
      <c r="CF39" s="603"/>
      <c r="CG39" s="603"/>
      <c r="CH39" s="603"/>
      <c r="CI39" s="603"/>
      <c r="CJ39" s="603"/>
      <c r="CK39" s="603"/>
      <c r="CL39" s="603"/>
      <c r="CM39" s="603"/>
      <c r="CN39" s="603"/>
      <c r="CO39" s="603"/>
      <c r="CP39" s="603"/>
      <c r="CQ39" s="603"/>
      <c r="CR39" s="603"/>
      <c r="CS39" s="603"/>
      <c r="CT39" s="603"/>
      <c r="CU39" s="603"/>
      <c r="CV39" s="603"/>
      <c r="CW39" s="603"/>
      <c r="CX39" s="603"/>
      <c r="CY39" s="603"/>
      <c r="CZ39" s="603"/>
      <c r="DA39" s="603"/>
      <c r="DB39" s="603"/>
      <c r="DC39" s="603"/>
      <c r="DD39" s="603"/>
      <c r="DE39" s="603"/>
      <c r="DF39" s="603"/>
      <c r="DG39" s="603"/>
      <c r="DH39" s="603"/>
      <c r="DI39" s="603"/>
      <c r="DJ39" s="603"/>
      <c r="DK39" s="603"/>
      <c r="DL39" s="603"/>
      <c r="DM39" s="603"/>
      <c r="DN39" s="603"/>
      <c r="DO39" s="603"/>
      <c r="DP39" s="603"/>
      <c r="DQ39" s="603"/>
      <c r="DR39" s="603"/>
      <c r="DS39" s="603"/>
      <c r="DT39" s="603"/>
      <c r="DU39" s="603"/>
      <c r="DV39" s="603"/>
      <c r="DW39" s="603"/>
      <c r="DX39" s="603"/>
      <c r="DY39" s="603"/>
      <c r="DZ39" s="603"/>
      <c r="EA39" s="603"/>
      <c r="EB39" s="603"/>
      <c r="EC39" s="603"/>
      <c r="ED39" s="603"/>
      <c r="EE39" s="603"/>
      <c r="EF39" s="603"/>
      <c r="EG39" s="603"/>
      <c r="EH39" s="603"/>
      <c r="EI39" s="603"/>
      <c r="EJ39" s="603"/>
      <c r="EK39" s="603"/>
      <c r="EL39" s="603"/>
      <c r="EM39" s="603"/>
      <c r="EN39" s="603"/>
      <c r="EO39" s="603"/>
      <c r="EP39" s="603"/>
      <c r="EQ39" s="603"/>
      <c r="ER39" s="603"/>
      <c r="ES39" s="603"/>
      <c r="ET39" s="603"/>
      <c r="EU39" s="603"/>
      <c r="EV39" s="603"/>
    </row>
    <row r="40" spans="1:152" s="605" customFormat="1" ht="20.100000000000001" customHeight="1">
      <c r="A40" s="635" t="s">
        <v>25</v>
      </c>
      <c r="B40" s="627">
        <f>'예산세출(탄현)'!Q80</f>
        <v>48200000</v>
      </c>
      <c r="C40" s="636">
        <f t="shared" si="3"/>
        <v>5.5288709150877842E-3</v>
      </c>
      <c r="D40" s="627">
        <f>'예산세출(탄현)'!R80</f>
        <v>10545000</v>
      </c>
      <c r="E40" s="626">
        <f t="shared" si="4"/>
        <v>1.8102131038828856E-3</v>
      </c>
      <c r="F40" s="627">
        <f t="shared" si="6"/>
        <v>37655000</v>
      </c>
      <c r="G40" s="637">
        <f t="shared" si="2"/>
        <v>3.5708866761498341</v>
      </c>
      <c r="H40" s="602"/>
      <c r="I40" s="602"/>
      <c r="J40" s="602"/>
      <c r="K40" s="602"/>
      <c r="L40" s="638" t="s">
        <v>2140</v>
      </c>
      <c r="M40" s="604">
        <f>SUMIFS($B$23:$B$57,$A$23:$A$57,"고양시청소년진로센터")</f>
        <v>148629000</v>
      </c>
      <c r="N40" s="604">
        <f>SUMIFS($B$36:$B$46,$A$36:$A$46,"고양시청소년진로센터")</f>
        <v>102000000</v>
      </c>
      <c r="O40" s="604"/>
      <c r="P40" s="604">
        <f t="shared" si="7"/>
        <v>46629000</v>
      </c>
      <c r="Q40" s="603"/>
      <c r="R40" s="603"/>
      <c r="S40" s="604">
        <f>SUMIFS($D$23:$D$57,$A$23:$A$57,"고양시청소년진로센터")</f>
        <v>60230000</v>
      </c>
      <c r="T40" s="604">
        <f>SUMIFS($D$36:$D$46,$A$36:$A$46,"고양시청소년진로센터")</f>
        <v>15000000</v>
      </c>
      <c r="U40" s="604"/>
      <c r="V40" s="604">
        <f t="shared" si="8"/>
        <v>45230000</v>
      </c>
      <c r="W40" s="603"/>
      <c r="X40" s="603"/>
      <c r="Y40" s="603"/>
      <c r="Z40" s="603"/>
      <c r="AA40" s="603"/>
      <c r="AB40" s="603"/>
      <c r="AC40" s="603"/>
      <c r="AD40" s="603"/>
      <c r="AE40" s="603"/>
      <c r="AF40" s="603"/>
      <c r="AG40" s="603"/>
      <c r="AH40" s="603"/>
      <c r="AI40" s="603"/>
      <c r="AJ40" s="603"/>
      <c r="AK40" s="603"/>
      <c r="AL40" s="603"/>
      <c r="AM40" s="603"/>
      <c r="AN40" s="603"/>
      <c r="AO40" s="603"/>
      <c r="AP40" s="603"/>
      <c r="AQ40" s="603"/>
      <c r="AR40" s="603"/>
      <c r="AS40" s="603"/>
      <c r="AT40" s="603"/>
      <c r="AU40" s="603"/>
      <c r="AV40" s="603"/>
      <c r="AW40" s="603"/>
      <c r="AX40" s="603"/>
      <c r="AY40" s="603"/>
      <c r="AZ40" s="603"/>
      <c r="BA40" s="603"/>
      <c r="BB40" s="603"/>
      <c r="BC40" s="603"/>
      <c r="BD40" s="603"/>
      <c r="BE40" s="603"/>
      <c r="BF40" s="603"/>
      <c r="BG40" s="603"/>
      <c r="BH40" s="603"/>
      <c r="BI40" s="603"/>
      <c r="BJ40" s="603"/>
      <c r="BK40" s="603"/>
      <c r="BL40" s="603"/>
      <c r="BM40" s="603"/>
      <c r="BN40" s="603"/>
      <c r="BO40" s="603"/>
      <c r="BP40" s="603"/>
      <c r="BQ40" s="603"/>
      <c r="BR40" s="603"/>
      <c r="BS40" s="603"/>
      <c r="BT40" s="603"/>
      <c r="BU40" s="603"/>
      <c r="BV40" s="603"/>
      <c r="BW40" s="603"/>
      <c r="BX40" s="603"/>
      <c r="BY40" s="603"/>
      <c r="BZ40" s="603"/>
      <c r="CA40" s="603"/>
      <c r="CB40" s="603"/>
      <c r="CC40" s="603"/>
      <c r="CD40" s="603"/>
      <c r="CE40" s="603"/>
      <c r="CF40" s="603"/>
      <c r="CG40" s="603"/>
      <c r="CH40" s="603"/>
      <c r="CI40" s="603"/>
      <c r="CJ40" s="603"/>
      <c r="CK40" s="603"/>
      <c r="CL40" s="603"/>
      <c r="CM40" s="603"/>
      <c r="CN40" s="603"/>
      <c r="CO40" s="603"/>
      <c r="CP40" s="603"/>
      <c r="CQ40" s="603"/>
      <c r="CR40" s="603"/>
      <c r="CS40" s="603"/>
      <c r="CT40" s="603"/>
      <c r="CU40" s="603"/>
      <c r="CV40" s="603"/>
      <c r="CW40" s="603"/>
      <c r="CX40" s="603"/>
      <c r="CY40" s="603"/>
      <c r="CZ40" s="603"/>
      <c r="DA40" s="603"/>
      <c r="DB40" s="603"/>
      <c r="DC40" s="603"/>
      <c r="DD40" s="603"/>
      <c r="DE40" s="603"/>
      <c r="DF40" s="603"/>
      <c r="DG40" s="603"/>
      <c r="DH40" s="603"/>
      <c r="DI40" s="603"/>
      <c r="DJ40" s="603"/>
      <c r="DK40" s="603"/>
      <c r="DL40" s="603"/>
      <c r="DM40" s="603"/>
      <c r="DN40" s="603"/>
      <c r="DO40" s="603"/>
      <c r="DP40" s="603"/>
      <c r="DQ40" s="603"/>
      <c r="DR40" s="603"/>
      <c r="DS40" s="603"/>
      <c r="DT40" s="603"/>
      <c r="DU40" s="603"/>
      <c r="DV40" s="603"/>
      <c r="DW40" s="603"/>
      <c r="DX40" s="603"/>
      <c r="DY40" s="603"/>
      <c r="DZ40" s="603"/>
      <c r="EA40" s="603"/>
      <c r="EB40" s="603"/>
      <c r="EC40" s="603"/>
      <c r="ED40" s="603"/>
      <c r="EE40" s="603"/>
      <c r="EF40" s="603"/>
      <c r="EG40" s="603"/>
      <c r="EH40" s="603"/>
      <c r="EI40" s="603"/>
      <c r="EJ40" s="603"/>
      <c r="EK40" s="603"/>
      <c r="EL40" s="603"/>
      <c r="EM40" s="603"/>
      <c r="EN40" s="603"/>
      <c r="EO40" s="603"/>
      <c r="EP40" s="603"/>
      <c r="EQ40" s="603"/>
      <c r="ER40" s="603"/>
      <c r="ES40" s="603"/>
      <c r="ET40" s="603"/>
      <c r="EU40" s="603"/>
      <c r="EV40" s="603"/>
    </row>
    <row r="41" spans="1:152" s="605" customFormat="1" ht="20.100000000000001" customHeight="1">
      <c r="A41" s="635" t="s">
        <v>2130</v>
      </c>
      <c r="B41" s="627">
        <f>'예산세출(주교)'!Q80</f>
        <v>4030000</v>
      </c>
      <c r="C41" s="636">
        <f t="shared" si="3"/>
        <v>4.622686677967587E-4</v>
      </c>
      <c r="D41" s="627">
        <f>'예산세출(주교)'!R80</f>
        <v>1600000</v>
      </c>
      <c r="E41" s="626">
        <f t="shared" si="4"/>
        <v>2.7466486166075076E-4</v>
      </c>
      <c r="F41" s="627">
        <f t="shared" si="6"/>
        <v>2430000</v>
      </c>
      <c r="G41" s="637">
        <f t="shared" si="2"/>
        <v>1.51875</v>
      </c>
      <c r="H41" s="602"/>
      <c r="I41" s="602"/>
      <c r="J41" s="602"/>
      <c r="K41" s="602"/>
      <c r="L41" s="629" t="s">
        <v>2347</v>
      </c>
      <c r="M41" s="604">
        <f>SUMIFS($B$23:$B$57,$A$23:$A$57,"성사청소년문화의집")</f>
        <v>145503000</v>
      </c>
      <c r="N41" s="604">
        <f>SUMIFS($B$36:$B$46,$A$36:$A$46,"성사청소년문화의집")</f>
        <v>52600000</v>
      </c>
      <c r="O41" s="604"/>
      <c r="P41" s="604">
        <f t="shared" si="7"/>
        <v>92903000</v>
      </c>
      <c r="Q41" s="603"/>
      <c r="R41" s="603"/>
      <c r="S41" s="604">
        <f>SUMIFS($D$23:$D$57,$A$23:$A$57,"성사청소년문화의집")</f>
        <v>88827000</v>
      </c>
      <c r="T41" s="604">
        <f>SUMIFS($D$36:$D$46,$A$36:$A$46,"성사청소년문화의집")</f>
        <v>41400000</v>
      </c>
      <c r="U41" s="604"/>
      <c r="V41" s="604">
        <f t="shared" si="8"/>
        <v>47427000</v>
      </c>
      <c r="W41" s="603"/>
      <c r="X41" s="603"/>
      <c r="Y41" s="603"/>
      <c r="Z41" s="603"/>
      <c r="AA41" s="603"/>
      <c r="AB41" s="603"/>
      <c r="AC41" s="603"/>
      <c r="AD41" s="603"/>
      <c r="AE41" s="603"/>
      <c r="AF41" s="603"/>
      <c r="AG41" s="603"/>
      <c r="AH41" s="603"/>
      <c r="AI41" s="603"/>
      <c r="AJ41" s="603"/>
      <c r="AK41" s="603"/>
      <c r="AL41" s="603"/>
      <c r="AM41" s="603"/>
      <c r="AN41" s="603"/>
      <c r="AO41" s="603"/>
      <c r="AP41" s="603"/>
      <c r="AQ41" s="603"/>
      <c r="AR41" s="603"/>
      <c r="AS41" s="603"/>
      <c r="AT41" s="603"/>
      <c r="AU41" s="603"/>
      <c r="AV41" s="603"/>
      <c r="AW41" s="603"/>
      <c r="AX41" s="603"/>
      <c r="AY41" s="603"/>
      <c r="AZ41" s="603"/>
      <c r="BA41" s="603"/>
      <c r="BB41" s="603"/>
      <c r="BC41" s="603"/>
      <c r="BD41" s="603"/>
      <c r="BE41" s="603"/>
      <c r="BF41" s="603"/>
      <c r="BG41" s="603"/>
      <c r="BH41" s="603"/>
      <c r="BI41" s="603"/>
      <c r="BJ41" s="603"/>
      <c r="BK41" s="603"/>
      <c r="BL41" s="603"/>
      <c r="BM41" s="603"/>
      <c r="BN41" s="603"/>
      <c r="BO41" s="603"/>
      <c r="BP41" s="603"/>
      <c r="BQ41" s="603"/>
      <c r="BR41" s="603"/>
      <c r="BS41" s="603"/>
      <c r="BT41" s="603"/>
      <c r="BU41" s="603"/>
      <c r="BV41" s="603"/>
      <c r="BW41" s="603"/>
      <c r="BX41" s="603"/>
      <c r="BY41" s="603"/>
      <c r="BZ41" s="603"/>
      <c r="CA41" s="603"/>
      <c r="CB41" s="603"/>
      <c r="CC41" s="603"/>
      <c r="CD41" s="603"/>
      <c r="CE41" s="603"/>
      <c r="CF41" s="603"/>
      <c r="CG41" s="603"/>
      <c r="CH41" s="603"/>
      <c r="CI41" s="603"/>
      <c r="CJ41" s="603"/>
      <c r="CK41" s="603"/>
      <c r="CL41" s="603"/>
      <c r="CM41" s="603"/>
      <c r="CN41" s="603"/>
      <c r="CO41" s="603"/>
      <c r="CP41" s="603"/>
      <c r="CQ41" s="603"/>
      <c r="CR41" s="603"/>
      <c r="CS41" s="603"/>
      <c r="CT41" s="603"/>
      <c r="CU41" s="603"/>
      <c r="CV41" s="603"/>
      <c r="CW41" s="603"/>
      <c r="CX41" s="603"/>
      <c r="CY41" s="603"/>
      <c r="CZ41" s="603"/>
      <c r="DA41" s="603"/>
      <c r="DB41" s="603"/>
      <c r="DC41" s="603"/>
      <c r="DD41" s="603"/>
      <c r="DE41" s="603"/>
      <c r="DF41" s="603"/>
      <c r="DG41" s="603"/>
      <c r="DH41" s="603"/>
      <c r="DI41" s="603"/>
      <c r="DJ41" s="603"/>
      <c r="DK41" s="603"/>
      <c r="DL41" s="603"/>
      <c r="DM41" s="603"/>
      <c r="DN41" s="603"/>
      <c r="DO41" s="603"/>
      <c r="DP41" s="603"/>
      <c r="DQ41" s="603"/>
      <c r="DR41" s="603"/>
      <c r="DS41" s="603"/>
      <c r="DT41" s="603"/>
      <c r="DU41" s="603"/>
      <c r="DV41" s="603"/>
      <c r="DW41" s="603"/>
      <c r="DX41" s="603"/>
      <c r="DY41" s="603"/>
      <c r="DZ41" s="603"/>
      <c r="EA41" s="603"/>
      <c r="EB41" s="603"/>
      <c r="EC41" s="603"/>
      <c r="ED41" s="603"/>
      <c r="EE41" s="603"/>
      <c r="EF41" s="603"/>
      <c r="EG41" s="603"/>
      <c r="EH41" s="603"/>
      <c r="EI41" s="603"/>
      <c r="EJ41" s="603"/>
      <c r="EK41" s="603"/>
      <c r="EL41" s="603"/>
      <c r="EM41" s="603"/>
      <c r="EN41" s="603"/>
      <c r="EO41" s="603"/>
      <c r="EP41" s="603"/>
      <c r="EQ41" s="603"/>
      <c r="ER41" s="603"/>
      <c r="ES41" s="603"/>
      <c r="ET41" s="603"/>
      <c r="EU41" s="603"/>
      <c r="EV41" s="603"/>
    </row>
    <row r="42" spans="1:152" s="605" customFormat="1" ht="20.100000000000001" customHeight="1">
      <c r="A42" s="635" t="s">
        <v>2131</v>
      </c>
      <c r="B42" s="627">
        <f>'예산세출(일산서구)'!Q135</f>
        <v>100000000</v>
      </c>
      <c r="C42" s="636">
        <f t="shared" si="3"/>
        <v>1.1470686545825278E-2</v>
      </c>
      <c r="D42" s="627">
        <v>0</v>
      </c>
      <c r="E42" s="626">
        <f t="shared" si="4"/>
        <v>0</v>
      </c>
      <c r="F42" s="627">
        <f t="shared" si="6"/>
        <v>100000000</v>
      </c>
      <c r="G42" s="640">
        <v>1</v>
      </c>
      <c r="H42" s="602"/>
      <c r="I42" s="602"/>
      <c r="J42" s="602"/>
      <c r="K42" s="602"/>
      <c r="L42" s="638" t="s">
        <v>2348</v>
      </c>
      <c r="M42" s="604">
        <f>SUMIFS($B$23:$B$57,$A$23:$A$57,"탄현청소년문화의집")</f>
        <v>83027000</v>
      </c>
      <c r="N42" s="604">
        <f>SUMIFS($B$36:$B$46,$A$36:$A$46,"탄현청소년문화의집")</f>
        <v>48200000</v>
      </c>
      <c r="O42" s="604"/>
      <c r="P42" s="604">
        <f t="shared" si="7"/>
        <v>34827000</v>
      </c>
      <c r="Q42" s="603"/>
      <c r="R42" s="603"/>
      <c r="S42" s="604">
        <f>SUMIFS($D$23:$D$57,$A$23:$A$57,"탄현청소년문화의집")</f>
        <v>36748000</v>
      </c>
      <c r="T42" s="604">
        <f>SUMIFS($D$36:$D$46,$A$36:$A$46,"탄현청소년문화의집")</f>
        <v>10545000</v>
      </c>
      <c r="U42" s="604"/>
      <c r="V42" s="604">
        <f t="shared" si="8"/>
        <v>26203000</v>
      </c>
      <c r="W42" s="603"/>
      <c r="X42" s="603"/>
      <c r="Y42" s="603"/>
      <c r="Z42" s="603"/>
      <c r="AA42" s="603"/>
      <c r="AB42" s="603"/>
      <c r="AC42" s="603"/>
      <c r="AD42" s="603"/>
      <c r="AE42" s="603"/>
      <c r="AF42" s="603"/>
      <c r="AG42" s="603"/>
      <c r="AH42" s="603"/>
      <c r="AI42" s="603"/>
      <c r="AJ42" s="603"/>
      <c r="AK42" s="603"/>
      <c r="AL42" s="603"/>
      <c r="AM42" s="603"/>
      <c r="AN42" s="603"/>
      <c r="AO42" s="603"/>
      <c r="AP42" s="603"/>
      <c r="AQ42" s="603"/>
      <c r="AR42" s="603"/>
      <c r="AS42" s="603"/>
      <c r="AT42" s="603"/>
      <c r="AU42" s="603"/>
      <c r="AV42" s="603"/>
      <c r="AW42" s="603"/>
      <c r="AX42" s="603"/>
      <c r="AY42" s="603"/>
      <c r="AZ42" s="603"/>
      <c r="BA42" s="603"/>
      <c r="BB42" s="603"/>
      <c r="BC42" s="603"/>
      <c r="BD42" s="603"/>
      <c r="BE42" s="603"/>
      <c r="BF42" s="603"/>
      <c r="BG42" s="603"/>
      <c r="BH42" s="603"/>
      <c r="BI42" s="603"/>
      <c r="BJ42" s="603"/>
      <c r="BK42" s="603"/>
      <c r="BL42" s="603"/>
      <c r="BM42" s="603"/>
      <c r="BN42" s="603"/>
      <c r="BO42" s="603"/>
      <c r="BP42" s="603"/>
      <c r="BQ42" s="603"/>
      <c r="BR42" s="603"/>
      <c r="BS42" s="603"/>
      <c r="BT42" s="603"/>
      <c r="BU42" s="603"/>
      <c r="BV42" s="603"/>
      <c r="BW42" s="603"/>
      <c r="BX42" s="603"/>
      <c r="BY42" s="603"/>
      <c r="BZ42" s="603"/>
      <c r="CA42" s="603"/>
      <c r="CB42" s="603"/>
      <c r="CC42" s="603"/>
      <c r="CD42" s="603"/>
      <c r="CE42" s="603"/>
      <c r="CF42" s="603"/>
      <c r="CG42" s="603"/>
      <c r="CH42" s="603"/>
      <c r="CI42" s="603"/>
      <c r="CJ42" s="603"/>
      <c r="CK42" s="603"/>
      <c r="CL42" s="603"/>
      <c r="CM42" s="603"/>
      <c r="CN42" s="603"/>
      <c r="CO42" s="603"/>
      <c r="CP42" s="603"/>
      <c r="CQ42" s="603"/>
      <c r="CR42" s="603"/>
      <c r="CS42" s="603"/>
      <c r="CT42" s="603"/>
      <c r="CU42" s="603"/>
      <c r="CV42" s="603"/>
      <c r="CW42" s="603"/>
      <c r="CX42" s="603"/>
      <c r="CY42" s="603"/>
      <c r="CZ42" s="603"/>
      <c r="DA42" s="603"/>
      <c r="DB42" s="603"/>
      <c r="DC42" s="603"/>
      <c r="DD42" s="603"/>
      <c r="DE42" s="603"/>
      <c r="DF42" s="603"/>
      <c r="DG42" s="603"/>
      <c r="DH42" s="603"/>
      <c r="DI42" s="603"/>
      <c r="DJ42" s="603"/>
      <c r="DK42" s="603"/>
      <c r="DL42" s="603"/>
      <c r="DM42" s="603"/>
      <c r="DN42" s="603"/>
      <c r="DO42" s="603"/>
      <c r="DP42" s="603"/>
      <c r="DQ42" s="603"/>
      <c r="DR42" s="603"/>
      <c r="DS42" s="603"/>
      <c r="DT42" s="603"/>
      <c r="DU42" s="603"/>
      <c r="DV42" s="603"/>
      <c r="DW42" s="603"/>
      <c r="DX42" s="603"/>
      <c r="DY42" s="603"/>
      <c r="DZ42" s="603"/>
      <c r="EA42" s="603"/>
      <c r="EB42" s="603"/>
      <c r="EC42" s="603"/>
      <c r="ED42" s="603"/>
      <c r="EE42" s="603"/>
      <c r="EF42" s="603"/>
      <c r="EG42" s="603"/>
      <c r="EH42" s="603"/>
      <c r="EI42" s="603"/>
      <c r="EJ42" s="603"/>
      <c r="EK42" s="603"/>
      <c r="EL42" s="603"/>
      <c r="EM42" s="603"/>
      <c r="EN42" s="603"/>
      <c r="EO42" s="603"/>
      <c r="EP42" s="603"/>
      <c r="EQ42" s="603"/>
      <c r="ER42" s="603"/>
      <c r="ES42" s="603"/>
      <c r="ET42" s="603"/>
      <c r="EU42" s="603"/>
      <c r="EV42" s="603"/>
    </row>
    <row r="43" spans="1:152" s="605" customFormat="1" ht="20.100000000000001" customHeight="1">
      <c r="A43" s="657" t="s">
        <v>26</v>
      </c>
      <c r="B43" s="655">
        <f>'예산세출(토당)'!O84</f>
        <v>0</v>
      </c>
      <c r="C43" s="658">
        <f t="shared" si="3"/>
        <v>0</v>
      </c>
      <c r="D43" s="655">
        <f>'예산세출(토당)'!P84</f>
        <v>32000000</v>
      </c>
      <c r="E43" s="654">
        <f t="shared" si="4"/>
        <v>5.4932972332150153E-3</v>
      </c>
      <c r="F43" s="655">
        <f t="shared" si="6"/>
        <v>-32000000</v>
      </c>
      <c r="G43" s="659">
        <f t="shared" si="2"/>
        <v>-1</v>
      </c>
      <c r="H43" s="602"/>
      <c r="I43" s="602"/>
      <c r="J43" s="602"/>
      <c r="K43" s="602"/>
      <c r="L43" s="638" t="s">
        <v>2349</v>
      </c>
      <c r="M43" s="604">
        <f>SUMIFS($B$23:$B$57,$A$23:$A$57,"주교동청소년카페")</f>
        <v>18326000</v>
      </c>
      <c r="N43" s="604">
        <f>SUMIFS($B$36:$B$46,$A$36:$A$46,"주교동청소년카페")</f>
        <v>4030000</v>
      </c>
      <c r="O43" s="604"/>
      <c r="P43" s="604">
        <f t="shared" si="7"/>
        <v>14296000</v>
      </c>
      <c r="Q43" s="603"/>
      <c r="R43" s="603"/>
      <c r="S43" s="604">
        <f>SUMIFS($D$23:$D$57,$A$23:$A$57,"주교동청소년카페")</f>
        <v>15057000</v>
      </c>
      <c r="T43" s="604">
        <f>SUMIFS($D$36:$D$46,$A$36:$A$46,"주교동청소년카페")</f>
        <v>1600000</v>
      </c>
      <c r="U43" s="604"/>
      <c r="V43" s="604">
        <f t="shared" si="8"/>
        <v>13457000</v>
      </c>
      <c r="W43" s="603"/>
      <c r="X43" s="603"/>
      <c r="Y43" s="603"/>
      <c r="Z43" s="603"/>
      <c r="AA43" s="603"/>
      <c r="AB43" s="603"/>
      <c r="AC43" s="603"/>
      <c r="AD43" s="603"/>
      <c r="AE43" s="603"/>
      <c r="AF43" s="603"/>
      <c r="AG43" s="603"/>
      <c r="AH43" s="603"/>
      <c r="AI43" s="603"/>
      <c r="AJ43" s="603"/>
      <c r="AK43" s="603"/>
      <c r="AL43" s="603"/>
      <c r="AM43" s="603"/>
      <c r="AN43" s="603"/>
      <c r="AO43" s="603"/>
      <c r="AP43" s="603"/>
      <c r="AQ43" s="603"/>
      <c r="AR43" s="603"/>
      <c r="AS43" s="603"/>
      <c r="AT43" s="603"/>
      <c r="AU43" s="603"/>
      <c r="AV43" s="603"/>
      <c r="AW43" s="603"/>
      <c r="AX43" s="603"/>
      <c r="AY43" s="603"/>
      <c r="AZ43" s="603"/>
      <c r="BA43" s="603"/>
      <c r="BB43" s="603"/>
      <c r="BC43" s="603"/>
      <c r="BD43" s="603"/>
      <c r="BE43" s="603"/>
      <c r="BF43" s="603"/>
      <c r="BG43" s="603"/>
      <c r="BH43" s="603"/>
      <c r="BI43" s="603"/>
      <c r="BJ43" s="603"/>
      <c r="BK43" s="603"/>
      <c r="BL43" s="603"/>
      <c r="BM43" s="603"/>
      <c r="BN43" s="603"/>
      <c r="BO43" s="603"/>
      <c r="BP43" s="603"/>
      <c r="BQ43" s="603"/>
      <c r="BR43" s="603"/>
      <c r="BS43" s="603"/>
      <c r="BT43" s="603"/>
      <c r="BU43" s="603"/>
      <c r="BV43" s="603"/>
      <c r="BW43" s="603"/>
      <c r="BX43" s="603"/>
      <c r="BY43" s="603"/>
      <c r="BZ43" s="603"/>
      <c r="CA43" s="603"/>
      <c r="CB43" s="603"/>
      <c r="CC43" s="603"/>
      <c r="CD43" s="603"/>
      <c r="CE43" s="603"/>
      <c r="CF43" s="603"/>
      <c r="CG43" s="603"/>
      <c r="CH43" s="603"/>
      <c r="CI43" s="603"/>
      <c r="CJ43" s="603"/>
      <c r="CK43" s="603"/>
      <c r="CL43" s="603"/>
      <c r="CM43" s="603"/>
      <c r="CN43" s="603"/>
      <c r="CO43" s="603"/>
      <c r="CP43" s="603"/>
      <c r="CQ43" s="603"/>
      <c r="CR43" s="603"/>
      <c r="CS43" s="603"/>
      <c r="CT43" s="603"/>
      <c r="CU43" s="603"/>
      <c r="CV43" s="603"/>
      <c r="CW43" s="603"/>
      <c r="CX43" s="603"/>
      <c r="CY43" s="603"/>
      <c r="CZ43" s="603"/>
      <c r="DA43" s="603"/>
      <c r="DB43" s="603"/>
      <c r="DC43" s="603"/>
      <c r="DD43" s="603"/>
      <c r="DE43" s="603"/>
      <c r="DF43" s="603"/>
      <c r="DG43" s="603"/>
      <c r="DH43" s="603"/>
      <c r="DI43" s="603"/>
      <c r="DJ43" s="603"/>
      <c r="DK43" s="603"/>
      <c r="DL43" s="603"/>
      <c r="DM43" s="603"/>
      <c r="DN43" s="603"/>
      <c r="DO43" s="603"/>
      <c r="DP43" s="603"/>
      <c r="DQ43" s="603"/>
      <c r="DR43" s="603"/>
      <c r="DS43" s="603"/>
      <c r="DT43" s="603"/>
      <c r="DU43" s="603"/>
      <c r="DV43" s="603"/>
      <c r="DW43" s="603"/>
      <c r="DX43" s="603"/>
      <c r="DY43" s="603"/>
      <c r="DZ43" s="603"/>
      <c r="EA43" s="603"/>
      <c r="EB43" s="603"/>
      <c r="EC43" s="603"/>
      <c r="ED43" s="603"/>
      <c r="EE43" s="603"/>
      <c r="EF43" s="603"/>
      <c r="EG43" s="603"/>
      <c r="EH43" s="603"/>
      <c r="EI43" s="603"/>
      <c r="EJ43" s="603"/>
      <c r="EK43" s="603"/>
      <c r="EL43" s="603"/>
      <c r="EM43" s="603"/>
      <c r="EN43" s="603"/>
      <c r="EO43" s="603"/>
      <c r="EP43" s="603"/>
      <c r="EQ43" s="603"/>
      <c r="ER43" s="603"/>
      <c r="ES43" s="603"/>
      <c r="ET43" s="603"/>
      <c r="EU43" s="603"/>
      <c r="EV43" s="603"/>
    </row>
    <row r="44" spans="1:152" s="605" customFormat="1" ht="20.100000000000001" customHeight="1">
      <c r="A44" s="624" t="s">
        <v>27</v>
      </c>
      <c r="B44" s="625">
        <f>'예산세출(상담)'!Q137</f>
        <v>49601000</v>
      </c>
      <c r="C44" s="626">
        <f t="shared" si="3"/>
        <v>5.689575233594796E-3</v>
      </c>
      <c r="D44" s="625">
        <f>'예산세출(상담)'!R137</f>
        <v>9324000</v>
      </c>
      <c r="E44" s="626">
        <f t="shared" si="4"/>
        <v>1.6006094813280252E-3</v>
      </c>
      <c r="F44" s="625">
        <f t="shared" si="6"/>
        <v>40277000</v>
      </c>
      <c r="G44" s="628">
        <f>+F44/D44</f>
        <v>4.3197125697125696</v>
      </c>
      <c r="H44" s="602"/>
      <c r="I44" s="602"/>
      <c r="J44" s="602"/>
      <c r="K44" s="602"/>
      <c r="L44" s="629" t="s">
        <v>2350</v>
      </c>
      <c r="M44" s="604">
        <f>SUMIFS($B$23:$B$57,$A$23:$A$57,"일산서구청소년수련관")</f>
        <v>700000000</v>
      </c>
      <c r="N44" s="604">
        <f>SUMIFS($B$36:$B$46,$A$36:$A$46,"일산서구청소년수련관")</f>
        <v>100000000</v>
      </c>
      <c r="O44" s="604"/>
      <c r="P44" s="604">
        <f t="shared" si="7"/>
        <v>600000000</v>
      </c>
      <c r="Q44" s="603"/>
      <c r="R44" s="603"/>
      <c r="S44" s="604">
        <f>SUMIFS($D$23:$D$57,$A$23:$A$57,"일산서구청소년수련관")</f>
        <v>0</v>
      </c>
      <c r="T44" s="604">
        <f>SUMIFS($D$36:$D$46,$A$36:$A$46,"일산서구청소년수련관")</f>
        <v>0</v>
      </c>
      <c r="U44" s="604"/>
      <c r="V44" s="604">
        <f t="shared" si="8"/>
        <v>0</v>
      </c>
      <c r="W44" s="603"/>
      <c r="X44" s="603"/>
      <c r="Y44" s="603"/>
      <c r="Z44" s="603"/>
      <c r="AA44" s="603"/>
      <c r="AB44" s="603"/>
      <c r="AC44" s="603"/>
      <c r="AD44" s="603"/>
      <c r="AE44" s="603"/>
      <c r="AF44" s="603"/>
      <c r="AG44" s="603"/>
      <c r="AH44" s="603"/>
      <c r="AI44" s="603"/>
      <c r="AJ44" s="603"/>
      <c r="AK44" s="603"/>
      <c r="AL44" s="603"/>
      <c r="AM44" s="603"/>
      <c r="AN44" s="603"/>
      <c r="AO44" s="603"/>
      <c r="AP44" s="603"/>
      <c r="AQ44" s="603"/>
      <c r="AR44" s="603"/>
      <c r="AS44" s="603"/>
      <c r="AT44" s="603"/>
      <c r="AU44" s="603"/>
      <c r="AV44" s="603"/>
      <c r="AW44" s="603"/>
      <c r="AX44" s="603"/>
      <c r="AY44" s="603"/>
      <c r="AZ44" s="603"/>
      <c r="BA44" s="603"/>
      <c r="BB44" s="603"/>
      <c r="BC44" s="603"/>
      <c r="BD44" s="603"/>
      <c r="BE44" s="603"/>
      <c r="BF44" s="603"/>
      <c r="BG44" s="603"/>
      <c r="BH44" s="603"/>
      <c r="BI44" s="603"/>
      <c r="BJ44" s="603"/>
      <c r="BK44" s="603"/>
      <c r="BL44" s="603"/>
      <c r="BM44" s="603"/>
      <c r="BN44" s="603"/>
      <c r="BO44" s="603"/>
      <c r="BP44" s="603"/>
      <c r="BQ44" s="603"/>
      <c r="BR44" s="603"/>
      <c r="BS44" s="603"/>
      <c r="BT44" s="603"/>
      <c r="BU44" s="603"/>
      <c r="BV44" s="603"/>
      <c r="BW44" s="603"/>
      <c r="BX44" s="603"/>
      <c r="BY44" s="603"/>
      <c r="BZ44" s="603"/>
      <c r="CA44" s="603"/>
      <c r="CB44" s="603"/>
      <c r="CC44" s="603"/>
      <c r="CD44" s="603"/>
      <c r="CE44" s="603"/>
      <c r="CF44" s="603"/>
      <c r="CG44" s="603"/>
      <c r="CH44" s="603"/>
      <c r="CI44" s="603"/>
      <c r="CJ44" s="603"/>
      <c r="CK44" s="603"/>
      <c r="CL44" s="603"/>
      <c r="CM44" s="603"/>
      <c r="CN44" s="603"/>
      <c r="CO44" s="603"/>
      <c r="CP44" s="603"/>
      <c r="CQ44" s="603"/>
      <c r="CR44" s="603"/>
      <c r="CS44" s="603"/>
      <c r="CT44" s="603"/>
      <c r="CU44" s="603"/>
      <c r="CV44" s="603"/>
      <c r="CW44" s="603"/>
      <c r="CX44" s="603"/>
      <c r="CY44" s="603"/>
      <c r="CZ44" s="603"/>
      <c r="DA44" s="603"/>
      <c r="DB44" s="603"/>
      <c r="DC44" s="603"/>
      <c r="DD44" s="603"/>
      <c r="DE44" s="603"/>
      <c r="DF44" s="603"/>
      <c r="DG44" s="603"/>
      <c r="DH44" s="603"/>
      <c r="DI44" s="603"/>
      <c r="DJ44" s="603"/>
      <c r="DK44" s="603"/>
      <c r="DL44" s="603"/>
      <c r="DM44" s="603"/>
      <c r="DN44" s="603"/>
      <c r="DO44" s="603"/>
      <c r="DP44" s="603"/>
      <c r="DQ44" s="603"/>
      <c r="DR44" s="603"/>
      <c r="DS44" s="603"/>
      <c r="DT44" s="603"/>
      <c r="DU44" s="603"/>
      <c r="DV44" s="603"/>
      <c r="DW44" s="603"/>
      <c r="DX44" s="603"/>
      <c r="DY44" s="603"/>
      <c r="DZ44" s="603"/>
      <c r="EA44" s="603"/>
      <c r="EB44" s="603"/>
      <c r="EC44" s="603"/>
      <c r="ED44" s="603"/>
      <c r="EE44" s="603"/>
      <c r="EF44" s="603"/>
      <c r="EG44" s="603"/>
      <c r="EH44" s="603"/>
      <c r="EI44" s="603"/>
      <c r="EJ44" s="603"/>
      <c r="EK44" s="603"/>
      <c r="EL44" s="603"/>
      <c r="EM44" s="603"/>
      <c r="EN44" s="603"/>
      <c r="EO44" s="603"/>
      <c r="EP44" s="603"/>
      <c r="EQ44" s="603"/>
      <c r="ER44" s="603"/>
      <c r="ES44" s="603"/>
      <c r="ET44" s="603"/>
      <c r="EU44" s="603"/>
      <c r="EV44" s="603"/>
    </row>
    <row r="45" spans="1:152" s="605" customFormat="1" ht="20.100000000000001" customHeight="1">
      <c r="A45" s="635" t="s">
        <v>36</v>
      </c>
      <c r="B45" s="627">
        <f>'예산세출(화정)'!O60</f>
        <v>32226000</v>
      </c>
      <c r="C45" s="636">
        <f t="shared" si="3"/>
        <v>3.6965434462576541E-3</v>
      </c>
      <c r="D45" s="627">
        <f>'예산세출(화정)'!P60</f>
        <v>23485000</v>
      </c>
      <c r="E45" s="626">
        <f t="shared" si="4"/>
        <v>4.0315651725642077E-3</v>
      </c>
      <c r="F45" s="627">
        <f t="shared" si="6"/>
        <v>8741000</v>
      </c>
      <c r="G45" s="637">
        <f t="shared" si="2"/>
        <v>0.37219501809665745</v>
      </c>
      <c r="H45" s="602"/>
      <c r="I45" s="602"/>
      <c r="J45" s="602"/>
      <c r="K45" s="602"/>
      <c r="L45" s="641" t="s">
        <v>26</v>
      </c>
      <c r="M45" s="604">
        <f>SUMIFS($B$23:$B$57,$A$23:$A$57,"토당청소년수련관")</f>
        <v>247567000</v>
      </c>
      <c r="N45" s="604">
        <f>SUMIFS($B$36:$B$46,$A$36:$A$46,"토당청소년수련관")</f>
        <v>0</v>
      </c>
      <c r="O45" s="604"/>
      <c r="P45" s="604">
        <f t="shared" si="7"/>
        <v>247567000</v>
      </c>
      <c r="Q45" s="603"/>
      <c r="R45" s="603"/>
      <c r="S45" s="604">
        <f>SUMIFS($D$23:$D$57,$A$23:$A$57,"토당청소년수련관")</f>
        <v>185500000</v>
      </c>
      <c r="T45" s="604">
        <f>SUMIFS($D$36:$D$46,$A$36:$A$46,"토당청소년수련관")</f>
        <v>32000000</v>
      </c>
      <c r="U45" s="604"/>
      <c r="V45" s="604">
        <f t="shared" si="8"/>
        <v>153500000</v>
      </c>
      <c r="W45" s="603"/>
      <c r="X45" s="603"/>
      <c r="Y45" s="603"/>
      <c r="Z45" s="603"/>
      <c r="AA45" s="603"/>
      <c r="AB45" s="603"/>
      <c r="AC45" s="603"/>
      <c r="AD45" s="603"/>
      <c r="AE45" s="603"/>
      <c r="AF45" s="603"/>
      <c r="AG45" s="603"/>
      <c r="AH45" s="603"/>
      <c r="AI45" s="603"/>
      <c r="AJ45" s="603"/>
      <c r="AK45" s="603"/>
      <c r="AL45" s="603"/>
      <c r="AM45" s="603"/>
      <c r="AN45" s="603"/>
      <c r="AO45" s="603"/>
      <c r="AP45" s="603"/>
      <c r="AQ45" s="603"/>
      <c r="AR45" s="603"/>
      <c r="AS45" s="603"/>
      <c r="AT45" s="603"/>
      <c r="AU45" s="603"/>
      <c r="AV45" s="603"/>
      <c r="AW45" s="603"/>
      <c r="AX45" s="603"/>
      <c r="AY45" s="603"/>
      <c r="AZ45" s="603"/>
      <c r="BA45" s="603"/>
      <c r="BB45" s="603"/>
      <c r="BC45" s="603"/>
      <c r="BD45" s="603"/>
      <c r="BE45" s="603"/>
      <c r="BF45" s="603"/>
      <c r="BG45" s="603"/>
      <c r="BH45" s="603"/>
      <c r="BI45" s="603"/>
      <c r="BJ45" s="603"/>
      <c r="BK45" s="603"/>
      <c r="BL45" s="603"/>
      <c r="BM45" s="603"/>
      <c r="BN45" s="603"/>
      <c r="BO45" s="603"/>
      <c r="BP45" s="603"/>
      <c r="BQ45" s="603"/>
      <c r="BR45" s="603"/>
      <c r="BS45" s="603"/>
      <c r="BT45" s="603"/>
      <c r="BU45" s="603"/>
      <c r="BV45" s="603"/>
      <c r="BW45" s="603"/>
      <c r="BX45" s="603"/>
      <c r="BY45" s="603"/>
      <c r="BZ45" s="603"/>
      <c r="CA45" s="603"/>
      <c r="CB45" s="603"/>
      <c r="CC45" s="603"/>
      <c r="CD45" s="603"/>
      <c r="CE45" s="603"/>
      <c r="CF45" s="603"/>
      <c r="CG45" s="603"/>
      <c r="CH45" s="603"/>
      <c r="CI45" s="603"/>
      <c r="CJ45" s="603"/>
      <c r="CK45" s="603"/>
      <c r="CL45" s="603"/>
      <c r="CM45" s="603"/>
      <c r="CN45" s="603"/>
      <c r="CO45" s="603"/>
      <c r="CP45" s="603"/>
      <c r="CQ45" s="603"/>
      <c r="CR45" s="603"/>
      <c r="CS45" s="603"/>
      <c r="CT45" s="603"/>
      <c r="CU45" s="603"/>
      <c r="CV45" s="603"/>
      <c r="CW45" s="603"/>
      <c r="CX45" s="603"/>
      <c r="CY45" s="603"/>
      <c r="CZ45" s="603"/>
      <c r="DA45" s="603"/>
      <c r="DB45" s="603"/>
      <c r="DC45" s="603"/>
      <c r="DD45" s="603"/>
      <c r="DE45" s="603"/>
      <c r="DF45" s="603"/>
      <c r="DG45" s="603"/>
      <c r="DH45" s="603"/>
      <c r="DI45" s="603"/>
      <c r="DJ45" s="603"/>
      <c r="DK45" s="603"/>
      <c r="DL45" s="603"/>
      <c r="DM45" s="603"/>
      <c r="DN45" s="603"/>
      <c r="DO45" s="603"/>
      <c r="DP45" s="603"/>
      <c r="DQ45" s="603"/>
      <c r="DR45" s="603"/>
      <c r="DS45" s="603"/>
      <c r="DT45" s="603"/>
      <c r="DU45" s="603"/>
      <c r="DV45" s="603"/>
      <c r="DW45" s="603"/>
      <c r="DX45" s="603"/>
      <c r="DY45" s="603"/>
      <c r="DZ45" s="603"/>
      <c r="EA45" s="603"/>
      <c r="EB45" s="603"/>
      <c r="EC45" s="603"/>
      <c r="ED45" s="603"/>
      <c r="EE45" s="603"/>
      <c r="EF45" s="603"/>
      <c r="EG45" s="603"/>
      <c r="EH45" s="603"/>
      <c r="EI45" s="603"/>
      <c r="EJ45" s="603"/>
      <c r="EK45" s="603"/>
      <c r="EL45" s="603"/>
      <c r="EM45" s="603"/>
      <c r="EN45" s="603"/>
      <c r="EO45" s="603"/>
      <c r="EP45" s="603"/>
      <c r="EQ45" s="603"/>
      <c r="ER45" s="603"/>
      <c r="ES45" s="603"/>
      <c r="ET45" s="603"/>
      <c r="EU45" s="603"/>
      <c r="EV45" s="603"/>
    </row>
    <row r="46" spans="1:152" s="605" customFormat="1" ht="20.100000000000001" customHeight="1">
      <c r="A46" s="657" t="s">
        <v>2516</v>
      </c>
      <c r="B46" s="655">
        <f>'예산세출(능곡)'!Q55</f>
        <v>10500000</v>
      </c>
      <c r="C46" s="658">
        <f t="shared" si="3"/>
        <v>1.2044220873116541E-3</v>
      </c>
      <c r="D46" s="655">
        <f>'예산세출(능곡)'!R55</f>
        <v>10150000</v>
      </c>
      <c r="E46" s="658">
        <f t="shared" si="4"/>
        <v>1.7424052161603878E-3</v>
      </c>
      <c r="F46" s="655">
        <f t="shared" si="6"/>
        <v>350000</v>
      </c>
      <c r="G46" s="659">
        <f t="shared" si="2"/>
        <v>3.4482758620689655E-2</v>
      </c>
      <c r="H46" s="602"/>
      <c r="I46" s="602"/>
      <c r="J46" s="602"/>
      <c r="K46" s="602"/>
      <c r="L46" s="629" t="s">
        <v>2351</v>
      </c>
      <c r="M46" s="660">
        <f>SUMIFS($B$23:$B$57,$A$23:$A$57,"고양시청소년상담복지센터")</f>
        <v>98442000</v>
      </c>
      <c r="N46" s="660">
        <f>SUMIFS($B$36:$B$46,$A$36:$A$46,"고양시청소년상담복지센터")</f>
        <v>49601000</v>
      </c>
      <c r="O46" s="660"/>
      <c r="P46" s="604">
        <f t="shared" si="7"/>
        <v>48841000</v>
      </c>
      <c r="Q46" s="661"/>
      <c r="R46" s="661"/>
      <c r="S46" s="660">
        <f>SUMIFS($D$23:$D$57,$A$23:$A$57,"고양시청소년상담복지센터")</f>
        <v>46490000</v>
      </c>
      <c r="T46" s="660">
        <f>SUMIFS($D$36:$D$46,$A$36:$A$46,"고양시청소년상담복지센터")</f>
        <v>9324000</v>
      </c>
      <c r="U46" s="660"/>
      <c r="V46" s="604">
        <f t="shared" si="8"/>
        <v>37166000</v>
      </c>
      <c r="W46" s="603"/>
      <c r="X46" s="603"/>
      <c r="Y46" s="603"/>
      <c r="Z46" s="603"/>
      <c r="AA46" s="603"/>
      <c r="AB46" s="603"/>
      <c r="AC46" s="603"/>
      <c r="AD46" s="603"/>
      <c r="AE46" s="603"/>
      <c r="AF46" s="603"/>
      <c r="AG46" s="603"/>
      <c r="AH46" s="603"/>
      <c r="AI46" s="603"/>
      <c r="AJ46" s="603"/>
      <c r="AK46" s="603"/>
      <c r="AL46" s="603"/>
      <c r="AM46" s="603"/>
      <c r="AN46" s="603"/>
      <c r="AO46" s="603"/>
      <c r="AP46" s="603"/>
      <c r="AQ46" s="603"/>
      <c r="AR46" s="603"/>
      <c r="AS46" s="603"/>
      <c r="AT46" s="603"/>
      <c r="AU46" s="603"/>
      <c r="AV46" s="603"/>
      <c r="AW46" s="603"/>
      <c r="AX46" s="603"/>
      <c r="AY46" s="603"/>
      <c r="AZ46" s="603"/>
      <c r="BA46" s="603"/>
      <c r="BB46" s="603"/>
      <c r="BC46" s="603"/>
      <c r="BD46" s="603"/>
      <c r="BE46" s="603"/>
      <c r="BF46" s="603"/>
      <c r="BG46" s="603"/>
      <c r="BH46" s="603"/>
      <c r="BI46" s="603"/>
      <c r="BJ46" s="603"/>
      <c r="BK46" s="603"/>
      <c r="BL46" s="603"/>
      <c r="BM46" s="603"/>
      <c r="BN46" s="603"/>
      <c r="BO46" s="603"/>
      <c r="BP46" s="603"/>
      <c r="BQ46" s="603"/>
      <c r="BR46" s="603"/>
      <c r="BS46" s="603"/>
      <c r="BT46" s="603"/>
      <c r="BU46" s="603"/>
      <c r="BV46" s="603"/>
      <c r="BW46" s="603"/>
      <c r="BX46" s="603"/>
      <c r="BY46" s="603"/>
      <c r="BZ46" s="603"/>
      <c r="CA46" s="603"/>
      <c r="CB46" s="603"/>
      <c r="CC46" s="603"/>
      <c r="CD46" s="603"/>
      <c r="CE46" s="603"/>
      <c r="CF46" s="603"/>
      <c r="CG46" s="603"/>
      <c r="CH46" s="603"/>
      <c r="CI46" s="603"/>
      <c r="CJ46" s="603"/>
      <c r="CK46" s="603"/>
      <c r="CL46" s="603"/>
      <c r="CM46" s="603"/>
      <c r="CN46" s="603"/>
      <c r="CO46" s="603"/>
      <c r="CP46" s="603"/>
      <c r="CQ46" s="603"/>
      <c r="CR46" s="603"/>
      <c r="CS46" s="603"/>
      <c r="CT46" s="603"/>
      <c r="CU46" s="603"/>
      <c r="CV46" s="603"/>
      <c r="CW46" s="603"/>
      <c r="CX46" s="603"/>
      <c r="CY46" s="603"/>
      <c r="CZ46" s="603"/>
      <c r="DA46" s="603"/>
      <c r="DB46" s="603"/>
      <c r="DC46" s="603"/>
      <c r="DD46" s="603"/>
      <c r="DE46" s="603"/>
      <c r="DF46" s="603"/>
      <c r="DG46" s="603"/>
      <c r="DH46" s="603"/>
      <c r="DI46" s="603"/>
      <c r="DJ46" s="603"/>
      <c r="DK46" s="603"/>
      <c r="DL46" s="603"/>
      <c r="DM46" s="603"/>
      <c r="DN46" s="603"/>
      <c r="DO46" s="603"/>
      <c r="DP46" s="603"/>
      <c r="DQ46" s="603"/>
      <c r="DR46" s="603"/>
      <c r="DS46" s="603"/>
      <c r="DT46" s="603"/>
      <c r="DU46" s="603"/>
      <c r="DV46" s="603"/>
      <c r="DW46" s="603"/>
      <c r="DX46" s="603"/>
      <c r="DY46" s="603"/>
      <c r="DZ46" s="603"/>
      <c r="EA46" s="603"/>
      <c r="EB46" s="603"/>
      <c r="EC46" s="603"/>
      <c r="ED46" s="603"/>
      <c r="EE46" s="603"/>
      <c r="EF46" s="603"/>
      <c r="EG46" s="603"/>
      <c r="EH46" s="603"/>
      <c r="EI46" s="603"/>
      <c r="EJ46" s="603"/>
      <c r="EK46" s="603"/>
      <c r="EL46" s="603"/>
      <c r="EM46" s="603"/>
      <c r="EN46" s="603"/>
      <c r="EO46" s="603"/>
      <c r="EP46" s="603"/>
      <c r="EQ46" s="603"/>
      <c r="ER46" s="603"/>
      <c r="ES46" s="603"/>
      <c r="ET46" s="603"/>
      <c r="EU46" s="603"/>
      <c r="EV46" s="603"/>
    </row>
    <row r="47" spans="1:152" s="605" customFormat="1" ht="20.100000000000001" customHeight="1">
      <c r="A47" s="646" t="s">
        <v>2135</v>
      </c>
      <c r="B47" s="647">
        <f>SUM(B48:B52)</f>
        <v>378249000</v>
      </c>
      <c r="C47" s="648">
        <f t="shared" ref="C47:C52" si="9">+B47/$B$7</f>
        <v>4.3387757152718656E-2</v>
      </c>
      <c r="D47" s="647">
        <f>SUM(D48:D52)</f>
        <v>12500000</v>
      </c>
      <c r="E47" s="648">
        <f t="shared" ref="E47:E52" si="10">+D47/$D$7</f>
        <v>2.1458192317246154E-3</v>
      </c>
      <c r="F47" s="647">
        <f>SUM(F48:F52)</f>
        <v>365749000</v>
      </c>
      <c r="G47" s="649">
        <f>+F47/D47</f>
        <v>29.259920000000001</v>
      </c>
      <c r="H47" s="650"/>
      <c r="I47" s="650"/>
      <c r="J47" s="650"/>
      <c r="K47" s="650"/>
      <c r="L47" s="638" t="s">
        <v>28</v>
      </c>
      <c r="M47" s="660">
        <f>SUMIFS($B$23:$B$57,$A$23:$A$57,"화정청소년카페")</f>
        <v>55273000</v>
      </c>
      <c r="N47" s="660">
        <f>SUMIFS($B$36:$B$46,$A$36:$A$46,"화정청소년카페")</f>
        <v>32226000</v>
      </c>
      <c r="O47" s="660"/>
      <c r="P47" s="604">
        <f t="shared" si="7"/>
        <v>23047000</v>
      </c>
      <c r="Q47" s="661"/>
      <c r="R47" s="661"/>
      <c r="S47" s="660">
        <f>SUMIFS($D$23:$D$57,$A$23:$A$57,"화정청소년카페")</f>
        <v>38325000</v>
      </c>
      <c r="T47" s="660">
        <f>SUMIFS($D$36:$D$46,$A$36:$A$46,"화정청소년카페")</f>
        <v>23485000</v>
      </c>
      <c r="U47" s="660"/>
      <c r="V47" s="604">
        <f t="shared" si="8"/>
        <v>14840000</v>
      </c>
      <c r="W47" s="603"/>
      <c r="X47" s="603"/>
      <c r="Y47" s="603"/>
      <c r="Z47" s="603"/>
      <c r="AA47" s="603"/>
      <c r="AB47" s="603"/>
      <c r="AC47" s="603"/>
      <c r="AD47" s="603"/>
      <c r="AE47" s="603"/>
      <c r="AF47" s="603"/>
      <c r="AG47" s="603"/>
      <c r="AH47" s="603"/>
      <c r="AI47" s="603"/>
      <c r="AJ47" s="603"/>
      <c r="AK47" s="603"/>
      <c r="AL47" s="603"/>
      <c r="AM47" s="603"/>
      <c r="AN47" s="603"/>
      <c r="AO47" s="603"/>
      <c r="AP47" s="603"/>
      <c r="AQ47" s="603"/>
      <c r="AR47" s="603"/>
      <c r="AS47" s="603"/>
      <c r="AT47" s="603"/>
      <c r="AU47" s="603"/>
      <c r="AV47" s="603"/>
      <c r="AW47" s="603"/>
      <c r="AX47" s="603"/>
      <c r="AY47" s="603"/>
      <c r="AZ47" s="603"/>
      <c r="BA47" s="603"/>
      <c r="BB47" s="603"/>
      <c r="BC47" s="603"/>
      <c r="BD47" s="603"/>
      <c r="BE47" s="603"/>
      <c r="BF47" s="603"/>
      <c r="BG47" s="603"/>
      <c r="BH47" s="603"/>
      <c r="BI47" s="603"/>
      <c r="BJ47" s="603"/>
      <c r="BK47" s="603"/>
      <c r="BL47" s="603"/>
      <c r="BM47" s="603"/>
      <c r="BN47" s="603"/>
      <c r="BO47" s="603"/>
      <c r="BP47" s="603"/>
      <c r="BQ47" s="603"/>
      <c r="BR47" s="603"/>
      <c r="BS47" s="603"/>
      <c r="BT47" s="603"/>
      <c r="BU47" s="603"/>
      <c r="BV47" s="603"/>
      <c r="BW47" s="603"/>
      <c r="BX47" s="603"/>
      <c r="BY47" s="603"/>
      <c r="BZ47" s="603"/>
      <c r="CA47" s="603"/>
      <c r="CB47" s="603"/>
      <c r="CC47" s="603"/>
      <c r="CD47" s="603"/>
      <c r="CE47" s="603"/>
      <c r="CF47" s="603"/>
      <c r="CG47" s="603"/>
      <c r="CH47" s="603"/>
      <c r="CI47" s="603"/>
      <c r="CJ47" s="603"/>
      <c r="CK47" s="603"/>
      <c r="CL47" s="603"/>
      <c r="CM47" s="603"/>
      <c r="CN47" s="603"/>
      <c r="CO47" s="603"/>
      <c r="CP47" s="603"/>
      <c r="CQ47" s="603"/>
      <c r="CR47" s="603"/>
      <c r="CS47" s="603"/>
      <c r="CT47" s="603"/>
      <c r="CU47" s="603"/>
      <c r="CV47" s="603"/>
      <c r="CW47" s="603"/>
      <c r="CX47" s="603"/>
      <c r="CY47" s="603"/>
      <c r="CZ47" s="603"/>
      <c r="DA47" s="603"/>
      <c r="DB47" s="603"/>
      <c r="DC47" s="603"/>
      <c r="DD47" s="603"/>
      <c r="DE47" s="603"/>
      <c r="DF47" s="603"/>
      <c r="DG47" s="603"/>
      <c r="DH47" s="603"/>
      <c r="DI47" s="603"/>
      <c r="DJ47" s="603"/>
      <c r="DK47" s="603"/>
      <c r="DL47" s="603"/>
      <c r="DM47" s="603"/>
      <c r="DN47" s="603"/>
      <c r="DO47" s="603"/>
      <c r="DP47" s="603"/>
      <c r="DQ47" s="603"/>
      <c r="DR47" s="603"/>
      <c r="DS47" s="603"/>
      <c r="DT47" s="603"/>
      <c r="DU47" s="603"/>
      <c r="DV47" s="603"/>
      <c r="DW47" s="603"/>
      <c r="DX47" s="603"/>
      <c r="DY47" s="603"/>
      <c r="DZ47" s="603"/>
      <c r="EA47" s="603"/>
      <c r="EB47" s="603"/>
      <c r="EC47" s="603"/>
      <c r="ED47" s="603"/>
      <c r="EE47" s="603"/>
      <c r="EF47" s="603"/>
      <c r="EG47" s="603"/>
      <c r="EH47" s="603"/>
      <c r="EI47" s="603"/>
      <c r="EJ47" s="603"/>
      <c r="EK47" s="603"/>
      <c r="EL47" s="603"/>
      <c r="EM47" s="603"/>
      <c r="EN47" s="603"/>
      <c r="EO47" s="603"/>
      <c r="EP47" s="603"/>
      <c r="EQ47" s="603"/>
      <c r="ER47" s="603"/>
      <c r="ES47" s="603"/>
      <c r="ET47" s="603"/>
      <c r="EU47" s="603"/>
      <c r="EV47" s="603"/>
    </row>
    <row r="48" spans="1:152" s="605" customFormat="1" ht="20.100000000000001" customHeight="1">
      <c r="A48" s="662" t="s">
        <v>21</v>
      </c>
      <c r="B48" s="663">
        <f>'예산세출(사무국)'!Q175</f>
        <v>5000000</v>
      </c>
      <c r="C48" s="644">
        <f t="shared" si="9"/>
        <v>5.7353432729126386E-4</v>
      </c>
      <c r="D48" s="643">
        <f>'예산세출(사무국)'!R175</f>
        <v>5500000</v>
      </c>
      <c r="E48" s="664">
        <f t="shared" si="10"/>
        <v>9.4416046195883088E-4</v>
      </c>
      <c r="F48" s="643">
        <f>+B48-D48</f>
        <v>-500000</v>
      </c>
      <c r="G48" s="645">
        <f>+F48/D48</f>
        <v>-9.0909090909090912E-2</v>
      </c>
      <c r="H48" s="602"/>
      <c r="I48" s="602"/>
      <c r="J48" s="602"/>
      <c r="K48" s="602"/>
      <c r="L48" s="629" t="s">
        <v>2515</v>
      </c>
      <c r="M48" s="660">
        <f>SUMIFS($B$23:$B$57,$A$23:$A$57,"백마역청소년카페")</f>
        <v>24535000</v>
      </c>
      <c r="N48" s="660">
        <f>SUMIFS($B$36:$B$46,$A$36:$A$46,"백마역청소년카페")</f>
        <v>0</v>
      </c>
      <c r="O48" s="660"/>
      <c r="P48" s="604">
        <f t="shared" si="7"/>
        <v>24535000</v>
      </c>
      <c r="Q48" s="661"/>
      <c r="R48" s="661"/>
      <c r="S48" s="660">
        <f>SUMIFS($D$23:$D$57,$A$23:$A$57,"백마역청소년카페")</f>
        <v>19370000</v>
      </c>
      <c r="T48" s="660">
        <f>SUMIFS($D$36:$D$46,$A$36:$A$46,"백마역청소년카페")</f>
        <v>0</v>
      </c>
      <c r="U48" s="660"/>
      <c r="V48" s="604">
        <f t="shared" si="8"/>
        <v>19370000</v>
      </c>
      <c r="W48" s="603"/>
      <c r="X48" s="603"/>
      <c r="Y48" s="603"/>
      <c r="Z48" s="603"/>
      <c r="AA48" s="603"/>
      <c r="AB48" s="603"/>
      <c r="AC48" s="603"/>
      <c r="AD48" s="603"/>
      <c r="AE48" s="603"/>
      <c r="AF48" s="603"/>
      <c r="AG48" s="603"/>
      <c r="AH48" s="603"/>
      <c r="AI48" s="603"/>
      <c r="AJ48" s="603"/>
      <c r="AK48" s="603"/>
      <c r="AL48" s="603"/>
      <c r="AM48" s="603"/>
      <c r="AN48" s="603"/>
      <c r="AO48" s="603"/>
      <c r="AP48" s="603"/>
      <c r="AQ48" s="603"/>
      <c r="AR48" s="603"/>
      <c r="AS48" s="603"/>
      <c r="AT48" s="603"/>
      <c r="AU48" s="603"/>
      <c r="AV48" s="603"/>
      <c r="AW48" s="603"/>
      <c r="AX48" s="603"/>
      <c r="AY48" s="603"/>
      <c r="AZ48" s="603"/>
      <c r="BA48" s="603"/>
      <c r="BB48" s="603"/>
      <c r="BC48" s="603"/>
      <c r="BD48" s="603"/>
      <c r="BE48" s="603"/>
      <c r="BF48" s="603"/>
      <c r="BG48" s="603"/>
      <c r="BH48" s="603"/>
      <c r="BI48" s="603"/>
      <c r="BJ48" s="603"/>
      <c r="BK48" s="603"/>
      <c r="BL48" s="603"/>
      <c r="BM48" s="603"/>
      <c r="BN48" s="603"/>
      <c r="BO48" s="603"/>
      <c r="BP48" s="603"/>
      <c r="BQ48" s="603"/>
      <c r="BR48" s="603"/>
      <c r="BS48" s="603"/>
      <c r="BT48" s="603"/>
      <c r="BU48" s="603"/>
      <c r="BV48" s="603"/>
      <c r="BW48" s="603"/>
      <c r="BX48" s="603"/>
      <c r="BY48" s="603"/>
      <c r="BZ48" s="603"/>
      <c r="CA48" s="603"/>
      <c r="CB48" s="603"/>
      <c r="CC48" s="603"/>
      <c r="CD48" s="603"/>
      <c r="CE48" s="603"/>
      <c r="CF48" s="603"/>
      <c r="CG48" s="603"/>
      <c r="CH48" s="603"/>
      <c r="CI48" s="603"/>
      <c r="CJ48" s="603"/>
      <c r="CK48" s="603"/>
      <c r="CL48" s="603"/>
      <c r="CM48" s="603"/>
      <c r="CN48" s="603"/>
      <c r="CO48" s="603"/>
      <c r="CP48" s="603"/>
      <c r="CQ48" s="603"/>
      <c r="CR48" s="603"/>
      <c r="CS48" s="603"/>
      <c r="CT48" s="603"/>
      <c r="CU48" s="603"/>
      <c r="CV48" s="603"/>
      <c r="CW48" s="603"/>
      <c r="CX48" s="603"/>
      <c r="CY48" s="603"/>
      <c r="CZ48" s="603"/>
      <c r="DA48" s="603"/>
      <c r="DB48" s="603"/>
      <c r="DC48" s="603"/>
      <c r="DD48" s="603"/>
      <c r="DE48" s="603"/>
      <c r="DF48" s="603"/>
      <c r="DG48" s="603"/>
      <c r="DH48" s="603"/>
      <c r="DI48" s="603"/>
      <c r="DJ48" s="603"/>
      <c r="DK48" s="603"/>
      <c r="DL48" s="603"/>
      <c r="DM48" s="603"/>
      <c r="DN48" s="603"/>
      <c r="DO48" s="603"/>
      <c r="DP48" s="603"/>
      <c r="DQ48" s="603"/>
      <c r="DR48" s="603"/>
      <c r="DS48" s="603"/>
      <c r="DT48" s="603"/>
      <c r="DU48" s="603"/>
      <c r="DV48" s="603"/>
      <c r="DW48" s="603"/>
      <c r="DX48" s="603"/>
      <c r="DY48" s="603"/>
      <c r="DZ48" s="603"/>
      <c r="EA48" s="603"/>
      <c r="EB48" s="603"/>
      <c r="EC48" s="603"/>
      <c r="ED48" s="603"/>
      <c r="EE48" s="603"/>
      <c r="EF48" s="603"/>
      <c r="EG48" s="603"/>
      <c r="EH48" s="603"/>
      <c r="EI48" s="603"/>
      <c r="EJ48" s="603"/>
      <c r="EK48" s="603"/>
      <c r="EL48" s="603"/>
      <c r="EM48" s="603"/>
      <c r="EN48" s="603"/>
      <c r="EO48" s="603"/>
      <c r="EP48" s="603"/>
      <c r="EQ48" s="603"/>
      <c r="ER48" s="603"/>
      <c r="ES48" s="603"/>
      <c r="ET48" s="603"/>
      <c r="EU48" s="603"/>
      <c r="EV48" s="603"/>
    </row>
    <row r="49" spans="1:152" s="605" customFormat="1" ht="20.100000000000001" customHeight="1">
      <c r="A49" s="635" t="s">
        <v>22</v>
      </c>
      <c r="B49" s="627">
        <f>'예산세출(마두)'!W51</f>
        <v>3000000</v>
      </c>
      <c r="C49" s="636">
        <f t="shared" si="9"/>
        <v>3.4412059637475834E-4</v>
      </c>
      <c r="D49" s="627">
        <f>'예산세출(마두)'!X51</f>
        <v>3000000</v>
      </c>
      <c r="E49" s="636">
        <f t="shared" si="10"/>
        <v>5.1499661561390771E-4</v>
      </c>
      <c r="F49" s="627">
        <f>+B49-D49</f>
        <v>0</v>
      </c>
      <c r="G49" s="637">
        <f>+F49/D49</f>
        <v>0</v>
      </c>
      <c r="H49" s="602"/>
      <c r="I49" s="602"/>
      <c r="J49" s="602"/>
      <c r="K49" s="602"/>
      <c r="L49" s="638" t="s">
        <v>2516</v>
      </c>
      <c r="M49" s="660">
        <f>SUMIFS($B$23:$B$57,$A$23:$A$57,"능곡역청소년카페")</f>
        <v>30170000</v>
      </c>
      <c r="N49" s="660">
        <f>SUMIFS($B$36:$B$46,$A$36:$A$46,"능곡역청소년카페")</f>
        <v>10500000</v>
      </c>
      <c r="O49" s="660"/>
      <c r="P49" s="604">
        <f t="shared" si="7"/>
        <v>19670000</v>
      </c>
      <c r="Q49" s="661"/>
      <c r="R49" s="661"/>
      <c r="S49" s="660">
        <f>SUMIFS($D$23:$D$57,$A$23:$A$57,"능곡역청소년카페")</f>
        <v>27300000</v>
      </c>
      <c r="T49" s="660">
        <f>SUMIFS($D$36:$D$46,$A$36:$A$46,"능곡역청소년카페")</f>
        <v>10150000</v>
      </c>
      <c r="U49" s="660"/>
      <c r="V49" s="604">
        <f t="shared" si="8"/>
        <v>17150000</v>
      </c>
      <c r="W49" s="603"/>
      <c r="X49" s="603"/>
      <c r="Y49" s="603"/>
      <c r="Z49" s="603"/>
      <c r="AA49" s="603"/>
      <c r="AB49" s="603"/>
      <c r="AC49" s="603"/>
      <c r="AD49" s="603"/>
      <c r="AE49" s="603"/>
      <c r="AF49" s="603"/>
      <c r="AG49" s="603"/>
      <c r="AH49" s="603"/>
      <c r="AI49" s="603"/>
      <c r="AJ49" s="603"/>
      <c r="AK49" s="603"/>
      <c r="AL49" s="603"/>
      <c r="AM49" s="603"/>
      <c r="AN49" s="603"/>
      <c r="AO49" s="603"/>
      <c r="AP49" s="603"/>
      <c r="AQ49" s="603"/>
      <c r="AR49" s="603"/>
      <c r="AS49" s="603"/>
      <c r="AT49" s="603"/>
      <c r="AU49" s="603"/>
      <c r="AV49" s="603"/>
      <c r="AW49" s="603"/>
      <c r="AX49" s="603"/>
      <c r="AY49" s="603"/>
      <c r="AZ49" s="603"/>
      <c r="BA49" s="603"/>
      <c r="BB49" s="603"/>
      <c r="BC49" s="603"/>
      <c r="BD49" s="603"/>
      <c r="BE49" s="603"/>
      <c r="BF49" s="603"/>
      <c r="BG49" s="603"/>
      <c r="BH49" s="603"/>
      <c r="BI49" s="603"/>
      <c r="BJ49" s="603"/>
      <c r="BK49" s="603"/>
      <c r="BL49" s="603"/>
      <c r="BM49" s="603"/>
      <c r="BN49" s="603"/>
      <c r="BO49" s="603"/>
      <c r="BP49" s="603"/>
      <c r="BQ49" s="603"/>
      <c r="BR49" s="603"/>
      <c r="BS49" s="603"/>
      <c r="BT49" s="603"/>
      <c r="BU49" s="603"/>
      <c r="BV49" s="603"/>
      <c r="BW49" s="603"/>
      <c r="BX49" s="603"/>
      <c r="BY49" s="603"/>
      <c r="BZ49" s="603"/>
      <c r="CA49" s="603"/>
      <c r="CB49" s="603"/>
      <c r="CC49" s="603"/>
      <c r="CD49" s="603"/>
      <c r="CE49" s="603"/>
      <c r="CF49" s="603"/>
      <c r="CG49" s="603"/>
      <c r="CH49" s="603"/>
      <c r="CI49" s="603"/>
      <c r="CJ49" s="603"/>
      <c r="CK49" s="603"/>
      <c r="CL49" s="603"/>
      <c r="CM49" s="603"/>
      <c r="CN49" s="603"/>
      <c r="CO49" s="603"/>
      <c r="CP49" s="603"/>
      <c r="CQ49" s="603"/>
      <c r="CR49" s="603"/>
      <c r="CS49" s="603"/>
      <c r="CT49" s="603"/>
      <c r="CU49" s="603"/>
      <c r="CV49" s="603"/>
      <c r="CW49" s="603"/>
      <c r="CX49" s="603"/>
      <c r="CY49" s="603"/>
      <c r="CZ49" s="603"/>
      <c r="DA49" s="603"/>
      <c r="DB49" s="603"/>
      <c r="DC49" s="603"/>
      <c r="DD49" s="603"/>
      <c r="DE49" s="603"/>
      <c r="DF49" s="603"/>
      <c r="DG49" s="603"/>
      <c r="DH49" s="603"/>
      <c r="DI49" s="603"/>
      <c r="DJ49" s="603"/>
      <c r="DK49" s="603"/>
      <c r="DL49" s="603"/>
      <c r="DM49" s="603"/>
      <c r="DN49" s="603"/>
      <c r="DO49" s="603"/>
      <c r="DP49" s="603"/>
      <c r="DQ49" s="603"/>
      <c r="DR49" s="603"/>
      <c r="DS49" s="603"/>
      <c r="DT49" s="603"/>
      <c r="DU49" s="603"/>
      <c r="DV49" s="603"/>
      <c r="DW49" s="603"/>
      <c r="DX49" s="603"/>
      <c r="DY49" s="603"/>
      <c r="DZ49" s="603"/>
      <c r="EA49" s="603"/>
      <c r="EB49" s="603"/>
      <c r="EC49" s="603"/>
      <c r="ED49" s="603"/>
      <c r="EE49" s="603"/>
      <c r="EF49" s="603"/>
      <c r="EG49" s="603"/>
      <c r="EH49" s="603"/>
      <c r="EI49" s="603"/>
      <c r="EJ49" s="603"/>
      <c r="EK49" s="603"/>
      <c r="EL49" s="603"/>
      <c r="EM49" s="603"/>
      <c r="EN49" s="603"/>
      <c r="EO49" s="603"/>
      <c r="EP49" s="603"/>
      <c r="EQ49" s="603"/>
      <c r="ER49" s="603"/>
      <c r="ES49" s="603"/>
      <c r="ET49" s="603"/>
      <c r="EU49" s="603"/>
      <c r="EV49" s="603"/>
    </row>
    <row r="50" spans="1:152" s="605" customFormat="1" ht="20.100000000000001" customHeight="1">
      <c r="A50" s="635" t="s">
        <v>23</v>
      </c>
      <c r="B50" s="627">
        <f>'예산세출(진로)'!W45</f>
        <v>1200000</v>
      </c>
      <c r="C50" s="636">
        <f t="shared" si="9"/>
        <v>1.3764823854990334E-4</v>
      </c>
      <c r="D50" s="627">
        <f>'예산세출(진로)'!X45</f>
        <v>1000000</v>
      </c>
      <c r="E50" s="636">
        <f t="shared" si="10"/>
        <v>1.7166553853796923E-4</v>
      </c>
      <c r="F50" s="627">
        <f>+B50-D50</f>
        <v>200000</v>
      </c>
      <c r="G50" s="637">
        <f>+F50/D50</f>
        <v>0.2</v>
      </c>
      <c r="H50" s="602"/>
      <c r="I50" s="602"/>
      <c r="J50" s="602"/>
      <c r="K50" s="602"/>
      <c r="L50" s="661"/>
      <c r="M50" s="661"/>
      <c r="N50" s="661"/>
      <c r="O50" s="661"/>
      <c r="P50" s="661"/>
      <c r="Q50" s="661"/>
      <c r="R50" s="661"/>
      <c r="S50" s="661"/>
      <c r="T50" s="661"/>
      <c r="U50" s="661"/>
      <c r="V50" s="603"/>
      <c r="W50" s="603"/>
      <c r="X50" s="603"/>
      <c r="Y50" s="603"/>
      <c r="Z50" s="603"/>
      <c r="AA50" s="603"/>
      <c r="AB50" s="603"/>
      <c r="AC50" s="603"/>
      <c r="AD50" s="603"/>
      <c r="AE50" s="603"/>
      <c r="AF50" s="603"/>
      <c r="AG50" s="603"/>
      <c r="AH50" s="603"/>
      <c r="AI50" s="603"/>
      <c r="AJ50" s="603"/>
      <c r="AK50" s="603"/>
      <c r="AL50" s="603"/>
      <c r="AM50" s="603"/>
      <c r="AN50" s="603"/>
      <c r="AO50" s="603"/>
      <c r="AP50" s="603"/>
      <c r="AQ50" s="603"/>
      <c r="AR50" s="603"/>
      <c r="AS50" s="603"/>
      <c r="AT50" s="603"/>
      <c r="AU50" s="603"/>
      <c r="AV50" s="603"/>
      <c r="AW50" s="603"/>
      <c r="AX50" s="603"/>
      <c r="AY50" s="603"/>
      <c r="AZ50" s="603"/>
      <c r="BA50" s="603"/>
      <c r="BB50" s="603"/>
      <c r="BC50" s="603"/>
      <c r="BD50" s="603"/>
      <c r="BE50" s="603"/>
      <c r="BF50" s="603"/>
      <c r="BG50" s="603"/>
      <c r="BH50" s="603"/>
      <c r="BI50" s="603"/>
      <c r="BJ50" s="603"/>
      <c r="BK50" s="603"/>
      <c r="BL50" s="603"/>
      <c r="BM50" s="603"/>
      <c r="BN50" s="603"/>
      <c r="BO50" s="603"/>
      <c r="BP50" s="603"/>
      <c r="BQ50" s="603"/>
      <c r="BR50" s="603"/>
      <c r="BS50" s="603"/>
      <c r="BT50" s="603"/>
      <c r="BU50" s="603"/>
      <c r="BV50" s="603"/>
      <c r="BW50" s="603"/>
      <c r="BX50" s="603"/>
      <c r="BY50" s="603"/>
      <c r="BZ50" s="603"/>
      <c r="CA50" s="603"/>
      <c r="CB50" s="603"/>
      <c r="CC50" s="603"/>
      <c r="CD50" s="603"/>
      <c r="CE50" s="603"/>
      <c r="CF50" s="603"/>
      <c r="CG50" s="603"/>
      <c r="CH50" s="603"/>
      <c r="CI50" s="603"/>
      <c r="CJ50" s="603"/>
      <c r="CK50" s="603"/>
      <c r="CL50" s="603"/>
      <c r="CM50" s="603"/>
      <c r="CN50" s="603"/>
      <c r="CO50" s="603"/>
      <c r="CP50" s="603"/>
      <c r="CQ50" s="603"/>
      <c r="CR50" s="603"/>
      <c r="CS50" s="603"/>
      <c r="CT50" s="603"/>
      <c r="CU50" s="603"/>
      <c r="CV50" s="603"/>
      <c r="CW50" s="603"/>
      <c r="CX50" s="603"/>
      <c r="CY50" s="603"/>
      <c r="CZ50" s="603"/>
      <c r="DA50" s="603"/>
      <c r="DB50" s="603"/>
      <c r="DC50" s="603"/>
      <c r="DD50" s="603"/>
      <c r="DE50" s="603"/>
      <c r="DF50" s="603"/>
      <c r="DG50" s="603"/>
      <c r="DH50" s="603"/>
      <c r="DI50" s="603"/>
      <c r="DJ50" s="603"/>
      <c r="DK50" s="603"/>
      <c r="DL50" s="603"/>
      <c r="DM50" s="603"/>
      <c r="DN50" s="603"/>
      <c r="DO50" s="603"/>
      <c r="DP50" s="603"/>
      <c r="DQ50" s="603"/>
      <c r="DR50" s="603"/>
      <c r="DS50" s="603"/>
      <c r="DT50" s="603"/>
      <c r="DU50" s="603"/>
      <c r="DV50" s="603"/>
      <c r="DW50" s="603"/>
      <c r="DX50" s="603"/>
      <c r="DY50" s="603"/>
      <c r="DZ50" s="603"/>
      <c r="EA50" s="603"/>
      <c r="EB50" s="603"/>
      <c r="EC50" s="603"/>
      <c r="ED50" s="603"/>
      <c r="EE50" s="603"/>
      <c r="EF50" s="603"/>
      <c r="EG50" s="603"/>
      <c r="EH50" s="603"/>
      <c r="EI50" s="603"/>
      <c r="EJ50" s="603"/>
      <c r="EK50" s="603"/>
      <c r="EL50" s="603"/>
      <c r="EM50" s="603"/>
      <c r="EN50" s="603"/>
      <c r="EO50" s="603"/>
      <c r="EP50" s="603"/>
      <c r="EQ50" s="603"/>
      <c r="ER50" s="603"/>
      <c r="ES50" s="603"/>
      <c r="ET50" s="603"/>
      <c r="EU50" s="603"/>
      <c r="EV50" s="603"/>
    </row>
    <row r="51" spans="1:152" s="605" customFormat="1" ht="20.100000000000001" customHeight="1">
      <c r="A51" s="635" t="s">
        <v>24</v>
      </c>
      <c r="B51" s="627">
        <f>'예산세출(성사)'!X50</f>
        <v>6200000</v>
      </c>
      <c r="C51" s="636">
        <f t="shared" si="9"/>
        <v>7.111825658411672E-4</v>
      </c>
      <c r="D51" s="627">
        <f>'예산세출(성사)'!Y50</f>
        <v>3000000</v>
      </c>
      <c r="E51" s="636">
        <f t="shared" si="10"/>
        <v>5.1499661561390771E-4</v>
      </c>
      <c r="F51" s="627">
        <f>+B51-D51</f>
        <v>3200000</v>
      </c>
      <c r="G51" s="637">
        <f>+F51/D51</f>
        <v>1.0666666666666667</v>
      </c>
      <c r="H51" s="602"/>
      <c r="I51" s="602"/>
      <c r="J51" s="602"/>
      <c r="K51" s="602"/>
      <c r="L51" s="661"/>
      <c r="M51" s="661"/>
      <c r="N51" s="661"/>
      <c r="O51" s="661"/>
      <c r="P51" s="661"/>
      <c r="Q51" s="661"/>
      <c r="R51" s="661"/>
      <c r="S51" s="661"/>
      <c r="T51" s="661"/>
      <c r="U51" s="661"/>
      <c r="V51" s="603"/>
      <c r="W51" s="603"/>
      <c r="X51" s="603"/>
      <c r="Y51" s="603"/>
      <c r="Z51" s="603"/>
      <c r="AA51" s="603"/>
      <c r="AB51" s="603"/>
      <c r="AC51" s="603"/>
      <c r="AD51" s="603"/>
      <c r="AE51" s="603"/>
      <c r="AF51" s="603"/>
      <c r="AG51" s="603"/>
      <c r="AH51" s="603"/>
      <c r="AI51" s="603"/>
      <c r="AJ51" s="603"/>
      <c r="AK51" s="603"/>
      <c r="AL51" s="603"/>
      <c r="AM51" s="603"/>
      <c r="AN51" s="603"/>
      <c r="AO51" s="603"/>
      <c r="AP51" s="603"/>
      <c r="AQ51" s="603"/>
      <c r="AR51" s="603"/>
      <c r="AS51" s="603"/>
      <c r="AT51" s="603"/>
      <c r="AU51" s="603"/>
      <c r="AV51" s="603"/>
      <c r="AW51" s="603"/>
      <c r="AX51" s="603"/>
      <c r="AY51" s="603"/>
      <c r="AZ51" s="603"/>
      <c r="BA51" s="603"/>
      <c r="BB51" s="603"/>
      <c r="BC51" s="603"/>
      <c r="BD51" s="603"/>
      <c r="BE51" s="603"/>
      <c r="BF51" s="603"/>
      <c r="BG51" s="603"/>
      <c r="BH51" s="603"/>
      <c r="BI51" s="603"/>
      <c r="BJ51" s="603"/>
      <c r="BK51" s="603"/>
      <c r="BL51" s="603"/>
      <c r="BM51" s="603"/>
      <c r="BN51" s="603"/>
      <c r="BO51" s="603"/>
      <c r="BP51" s="603"/>
      <c r="BQ51" s="603"/>
      <c r="BR51" s="603"/>
      <c r="BS51" s="603"/>
      <c r="BT51" s="603"/>
      <c r="BU51" s="603"/>
      <c r="BV51" s="603"/>
      <c r="BW51" s="603"/>
      <c r="BX51" s="603"/>
      <c r="BY51" s="603"/>
      <c r="BZ51" s="603"/>
      <c r="CA51" s="603"/>
      <c r="CB51" s="603"/>
      <c r="CC51" s="603"/>
      <c r="CD51" s="603"/>
      <c r="CE51" s="603"/>
      <c r="CF51" s="603"/>
      <c r="CG51" s="603"/>
      <c r="CH51" s="603"/>
      <c r="CI51" s="603"/>
      <c r="CJ51" s="603"/>
      <c r="CK51" s="603"/>
      <c r="CL51" s="603"/>
      <c r="CM51" s="603"/>
      <c r="CN51" s="603"/>
      <c r="CO51" s="603"/>
      <c r="CP51" s="603"/>
      <c r="CQ51" s="603"/>
      <c r="CR51" s="603"/>
      <c r="CS51" s="603"/>
      <c r="CT51" s="603"/>
      <c r="CU51" s="603"/>
      <c r="CV51" s="603"/>
      <c r="CW51" s="603"/>
      <c r="CX51" s="603"/>
      <c r="CY51" s="603"/>
      <c r="CZ51" s="603"/>
      <c r="DA51" s="603"/>
      <c r="DB51" s="603"/>
      <c r="DC51" s="603"/>
      <c r="DD51" s="603"/>
      <c r="DE51" s="603"/>
      <c r="DF51" s="603"/>
      <c r="DG51" s="603"/>
      <c r="DH51" s="603"/>
      <c r="DI51" s="603"/>
      <c r="DJ51" s="603"/>
      <c r="DK51" s="603"/>
      <c r="DL51" s="603"/>
      <c r="DM51" s="603"/>
      <c r="DN51" s="603"/>
      <c r="DO51" s="603"/>
      <c r="DP51" s="603"/>
      <c r="DQ51" s="603"/>
      <c r="DR51" s="603"/>
      <c r="DS51" s="603"/>
      <c r="DT51" s="603"/>
      <c r="DU51" s="603"/>
      <c r="DV51" s="603"/>
      <c r="DW51" s="603"/>
      <c r="DX51" s="603"/>
      <c r="DY51" s="603"/>
      <c r="DZ51" s="603"/>
      <c r="EA51" s="603"/>
      <c r="EB51" s="603"/>
      <c r="EC51" s="603"/>
      <c r="ED51" s="603"/>
      <c r="EE51" s="603"/>
      <c r="EF51" s="603"/>
      <c r="EG51" s="603"/>
      <c r="EH51" s="603"/>
      <c r="EI51" s="603"/>
      <c r="EJ51" s="603"/>
      <c r="EK51" s="603"/>
      <c r="EL51" s="603"/>
      <c r="EM51" s="603"/>
      <c r="EN51" s="603"/>
      <c r="EO51" s="603"/>
      <c r="EP51" s="603"/>
      <c r="EQ51" s="603"/>
      <c r="ER51" s="603"/>
      <c r="ES51" s="603"/>
      <c r="ET51" s="603"/>
      <c r="EU51" s="603"/>
      <c r="EV51" s="603"/>
    </row>
    <row r="52" spans="1:152" s="605" customFormat="1" ht="20.100000000000001" customHeight="1">
      <c r="A52" s="635" t="s">
        <v>1875</v>
      </c>
      <c r="B52" s="627">
        <f>'예산세출(일산서구)'!W56</f>
        <v>362849000</v>
      </c>
      <c r="C52" s="636">
        <f t="shared" si="9"/>
        <v>4.1621271424661564E-2</v>
      </c>
      <c r="D52" s="627">
        <v>0</v>
      </c>
      <c r="E52" s="636">
        <f t="shared" si="10"/>
        <v>0</v>
      </c>
      <c r="F52" s="627">
        <f>+B52-D52</f>
        <v>362849000</v>
      </c>
      <c r="G52" s="640">
        <v>1</v>
      </c>
      <c r="H52" s="602"/>
      <c r="I52" s="602"/>
      <c r="J52" s="602"/>
      <c r="K52" s="602"/>
      <c r="L52" s="661"/>
      <c r="M52" s="661"/>
      <c r="N52" s="661"/>
      <c r="O52" s="661"/>
      <c r="P52" s="661"/>
      <c r="Q52" s="661"/>
      <c r="R52" s="661"/>
      <c r="S52" s="661"/>
      <c r="T52" s="661"/>
      <c r="U52" s="661"/>
      <c r="V52" s="603"/>
      <c r="W52" s="603"/>
      <c r="X52" s="603"/>
      <c r="Y52" s="603"/>
      <c r="Z52" s="603"/>
      <c r="AA52" s="603"/>
      <c r="AB52" s="603"/>
      <c r="AC52" s="603"/>
      <c r="AD52" s="603"/>
      <c r="AE52" s="603"/>
      <c r="AF52" s="603"/>
      <c r="AG52" s="603"/>
      <c r="AH52" s="603"/>
      <c r="AI52" s="603"/>
      <c r="AJ52" s="603"/>
      <c r="AK52" s="603"/>
      <c r="AL52" s="603"/>
      <c r="AM52" s="603"/>
      <c r="AN52" s="603"/>
      <c r="AO52" s="603"/>
      <c r="AP52" s="603"/>
      <c r="AQ52" s="603"/>
      <c r="AR52" s="603"/>
      <c r="AS52" s="603"/>
      <c r="AT52" s="603"/>
      <c r="AU52" s="603"/>
      <c r="AV52" s="603"/>
      <c r="AW52" s="603"/>
      <c r="AX52" s="603"/>
      <c r="AY52" s="603"/>
      <c r="AZ52" s="603"/>
      <c r="BA52" s="603"/>
      <c r="BB52" s="603"/>
      <c r="BC52" s="603"/>
      <c r="BD52" s="603"/>
      <c r="BE52" s="603"/>
      <c r="BF52" s="603"/>
      <c r="BG52" s="603"/>
      <c r="BH52" s="603"/>
      <c r="BI52" s="603"/>
      <c r="BJ52" s="603"/>
      <c r="BK52" s="603"/>
      <c r="BL52" s="603"/>
      <c r="BM52" s="603"/>
      <c r="BN52" s="603"/>
      <c r="BO52" s="603"/>
      <c r="BP52" s="603"/>
      <c r="BQ52" s="603"/>
      <c r="BR52" s="603"/>
      <c r="BS52" s="603"/>
      <c r="BT52" s="603"/>
      <c r="BU52" s="603"/>
      <c r="BV52" s="603"/>
      <c r="BW52" s="603"/>
      <c r="BX52" s="603"/>
      <c r="BY52" s="603"/>
      <c r="BZ52" s="603"/>
      <c r="CA52" s="603"/>
      <c r="CB52" s="603"/>
      <c r="CC52" s="603"/>
      <c r="CD52" s="603"/>
      <c r="CE52" s="603"/>
      <c r="CF52" s="603"/>
      <c r="CG52" s="603"/>
      <c r="CH52" s="603"/>
      <c r="CI52" s="603"/>
      <c r="CJ52" s="603"/>
      <c r="CK52" s="603"/>
      <c r="CL52" s="603"/>
      <c r="CM52" s="603"/>
      <c r="CN52" s="603"/>
      <c r="CO52" s="603"/>
      <c r="CP52" s="603"/>
      <c r="CQ52" s="603"/>
      <c r="CR52" s="603"/>
      <c r="CS52" s="603"/>
      <c r="CT52" s="603"/>
      <c r="CU52" s="603"/>
      <c r="CV52" s="603"/>
      <c r="CW52" s="603"/>
      <c r="CX52" s="603"/>
      <c r="CY52" s="603"/>
      <c r="CZ52" s="603"/>
      <c r="DA52" s="603"/>
      <c r="DB52" s="603"/>
      <c r="DC52" s="603"/>
      <c r="DD52" s="603"/>
      <c r="DE52" s="603"/>
      <c r="DF52" s="603"/>
      <c r="DG52" s="603"/>
      <c r="DH52" s="603"/>
      <c r="DI52" s="603"/>
      <c r="DJ52" s="603"/>
      <c r="DK52" s="603"/>
      <c r="DL52" s="603"/>
      <c r="DM52" s="603"/>
      <c r="DN52" s="603"/>
      <c r="DO52" s="603"/>
      <c r="DP52" s="603"/>
      <c r="DQ52" s="603"/>
      <c r="DR52" s="603"/>
      <c r="DS52" s="603"/>
      <c r="DT52" s="603"/>
      <c r="DU52" s="603"/>
      <c r="DV52" s="603"/>
      <c r="DW52" s="603"/>
      <c r="DX52" s="603"/>
      <c r="DY52" s="603"/>
      <c r="DZ52" s="603"/>
      <c r="EA52" s="603"/>
      <c r="EB52" s="603"/>
      <c r="EC52" s="603"/>
      <c r="ED52" s="603"/>
      <c r="EE52" s="603"/>
      <c r="EF52" s="603"/>
      <c r="EG52" s="603"/>
      <c r="EH52" s="603"/>
      <c r="EI52" s="603"/>
      <c r="EJ52" s="603"/>
      <c r="EK52" s="603"/>
      <c r="EL52" s="603"/>
      <c r="EM52" s="603"/>
      <c r="EN52" s="603"/>
      <c r="EO52" s="603"/>
      <c r="EP52" s="603"/>
      <c r="EQ52" s="603"/>
      <c r="ER52" s="603"/>
      <c r="ES52" s="603"/>
      <c r="ET52" s="603"/>
      <c r="EU52" s="603"/>
      <c r="EV52" s="603"/>
    </row>
    <row r="53" spans="1:152" s="605" customFormat="1" ht="20.100000000000001" customHeight="1">
      <c r="A53" s="646" t="s">
        <v>2184</v>
      </c>
      <c r="B53" s="647">
        <f>SUM(B54:B54)</f>
        <v>91448000</v>
      </c>
      <c r="C53" s="648">
        <f t="shared" ref="C53:C54" si="11">+B53/$B$7</f>
        <v>1.0489713432426301E-2</v>
      </c>
      <c r="D53" s="647">
        <f>SUM(D54:D54)</f>
        <v>17500000</v>
      </c>
      <c r="E53" s="648">
        <f t="shared" ref="E53:E54" si="12">+D53/$D$7</f>
        <v>3.0041469244144617E-3</v>
      </c>
      <c r="F53" s="647">
        <f>B53-D53</f>
        <v>73948000</v>
      </c>
      <c r="G53" s="649">
        <f>+F53/D53</f>
        <v>4.2256</v>
      </c>
      <c r="H53" s="650"/>
      <c r="I53" s="650"/>
      <c r="J53" s="650"/>
      <c r="K53" s="650"/>
      <c r="L53" s="661"/>
      <c r="M53" s="4" t="s">
        <v>2570</v>
      </c>
      <c r="N53" s="660">
        <f>D9+D59</f>
        <v>2517933000</v>
      </c>
      <c r="O53" s="661"/>
      <c r="P53" s="661"/>
      <c r="Q53" s="661"/>
      <c r="R53" s="661"/>
      <c r="S53" s="661"/>
      <c r="T53" s="661"/>
      <c r="U53" s="661"/>
      <c r="V53" s="603"/>
      <c r="W53" s="603"/>
      <c r="X53" s="603"/>
      <c r="Y53" s="603"/>
      <c r="Z53" s="603"/>
      <c r="AA53" s="603"/>
      <c r="AB53" s="603"/>
      <c r="AC53" s="603"/>
      <c r="AD53" s="603"/>
      <c r="AE53" s="603"/>
      <c r="AF53" s="603"/>
      <c r="AG53" s="603"/>
      <c r="AH53" s="603"/>
      <c r="AI53" s="603"/>
      <c r="AJ53" s="603"/>
      <c r="AK53" s="603"/>
      <c r="AL53" s="603"/>
      <c r="AM53" s="603"/>
      <c r="AN53" s="603"/>
      <c r="AO53" s="603"/>
      <c r="AP53" s="603"/>
      <c r="AQ53" s="603"/>
      <c r="AR53" s="603"/>
      <c r="AS53" s="603"/>
      <c r="AT53" s="603"/>
      <c r="AU53" s="603"/>
      <c r="AV53" s="603"/>
      <c r="AW53" s="603"/>
      <c r="AX53" s="603"/>
      <c r="AY53" s="603"/>
      <c r="AZ53" s="603"/>
      <c r="BA53" s="603"/>
      <c r="BB53" s="603"/>
      <c r="BC53" s="603"/>
      <c r="BD53" s="603"/>
      <c r="BE53" s="603"/>
      <c r="BF53" s="603"/>
      <c r="BG53" s="603"/>
      <c r="BH53" s="603"/>
      <c r="BI53" s="603"/>
      <c r="BJ53" s="603"/>
      <c r="BK53" s="603"/>
      <c r="BL53" s="603"/>
      <c r="BM53" s="603"/>
      <c r="BN53" s="603"/>
      <c r="BO53" s="603"/>
      <c r="BP53" s="603"/>
      <c r="BQ53" s="603"/>
      <c r="BR53" s="603"/>
      <c r="BS53" s="603"/>
      <c r="BT53" s="603"/>
      <c r="BU53" s="603"/>
      <c r="BV53" s="603"/>
      <c r="BW53" s="603"/>
      <c r="BX53" s="603"/>
      <c r="BY53" s="603"/>
      <c r="BZ53" s="603"/>
      <c r="CA53" s="603"/>
      <c r="CB53" s="603"/>
      <c r="CC53" s="603"/>
      <c r="CD53" s="603"/>
      <c r="CE53" s="603"/>
      <c r="CF53" s="603"/>
      <c r="CG53" s="603"/>
      <c r="CH53" s="603"/>
      <c r="CI53" s="603"/>
      <c r="CJ53" s="603"/>
      <c r="CK53" s="603"/>
      <c r="CL53" s="603"/>
      <c r="CM53" s="603"/>
      <c r="CN53" s="603"/>
      <c r="CO53" s="603"/>
      <c r="CP53" s="603"/>
      <c r="CQ53" s="603"/>
      <c r="CR53" s="603"/>
      <c r="CS53" s="603"/>
      <c r="CT53" s="603"/>
      <c r="CU53" s="603"/>
      <c r="CV53" s="603"/>
      <c r="CW53" s="603"/>
      <c r="CX53" s="603"/>
      <c r="CY53" s="603"/>
      <c r="CZ53" s="603"/>
      <c r="DA53" s="603"/>
      <c r="DB53" s="603"/>
      <c r="DC53" s="603"/>
      <c r="DD53" s="603"/>
      <c r="DE53" s="603"/>
      <c r="DF53" s="603"/>
      <c r="DG53" s="603"/>
      <c r="DH53" s="603"/>
      <c r="DI53" s="603"/>
      <c r="DJ53" s="603"/>
      <c r="DK53" s="603"/>
      <c r="DL53" s="603"/>
      <c r="DM53" s="603"/>
      <c r="DN53" s="603"/>
      <c r="DO53" s="603"/>
      <c r="DP53" s="603"/>
      <c r="DQ53" s="603"/>
      <c r="DR53" s="603"/>
      <c r="DS53" s="603"/>
      <c r="DT53" s="603"/>
      <c r="DU53" s="603"/>
      <c r="DV53" s="603"/>
      <c r="DW53" s="603"/>
      <c r="DX53" s="603"/>
      <c r="DY53" s="603"/>
      <c r="DZ53" s="603"/>
      <c r="EA53" s="603"/>
      <c r="EB53" s="603"/>
      <c r="EC53" s="603"/>
      <c r="ED53" s="603"/>
      <c r="EE53" s="603"/>
      <c r="EF53" s="603"/>
      <c r="EG53" s="603"/>
      <c r="EH53" s="603"/>
      <c r="EI53" s="603"/>
      <c r="EJ53" s="603"/>
      <c r="EK53" s="603"/>
      <c r="EL53" s="603"/>
      <c r="EM53" s="603"/>
      <c r="EN53" s="603"/>
      <c r="EO53" s="603"/>
      <c r="EP53" s="603"/>
      <c r="EQ53" s="603"/>
      <c r="ER53" s="603"/>
      <c r="ES53" s="603"/>
      <c r="ET53" s="603"/>
      <c r="EU53" s="603"/>
      <c r="EV53" s="603"/>
    </row>
    <row r="54" spans="1:152" s="605" customFormat="1" ht="20.100000000000001" customHeight="1">
      <c r="A54" s="662" t="s">
        <v>21</v>
      </c>
      <c r="B54" s="663">
        <f>'예산세출(사무국)'!Q179</f>
        <v>91448000</v>
      </c>
      <c r="C54" s="644">
        <f t="shared" si="11"/>
        <v>1.0489713432426301E-2</v>
      </c>
      <c r="D54" s="643">
        <f>'예산세출(사무국)'!R179</f>
        <v>17500000</v>
      </c>
      <c r="E54" s="664">
        <f t="shared" si="12"/>
        <v>3.0041469244144617E-3</v>
      </c>
      <c r="F54" s="643">
        <f>+B54-D54</f>
        <v>73948000</v>
      </c>
      <c r="G54" s="645">
        <f>+F54/D54</f>
        <v>4.2256</v>
      </c>
      <c r="H54" s="602"/>
      <c r="I54" s="602"/>
      <c r="J54" s="602"/>
      <c r="K54" s="602"/>
      <c r="L54" s="661"/>
      <c r="M54" s="4" t="s">
        <v>2571</v>
      </c>
      <c r="N54" s="660">
        <f>D22+D66</f>
        <v>1226955000</v>
      </c>
      <c r="O54" s="661"/>
      <c r="P54" s="661"/>
      <c r="Q54" s="661"/>
      <c r="R54" s="661"/>
      <c r="S54" s="661"/>
      <c r="T54" s="661"/>
      <c r="U54" s="661"/>
      <c r="V54" s="603"/>
      <c r="W54" s="603"/>
      <c r="X54" s="603"/>
      <c r="Y54" s="603"/>
      <c r="Z54" s="603"/>
      <c r="AA54" s="603"/>
      <c r="AB54" s="603"/>
      <c r="AC54" s="603"/>
      <c r="AD54" s="603"/>
      <c r="AE54" s="603"/>
      <c r="AF54" s="603"/>
      <c r="AG54" s="603"/>
      <c r="AH54" s="603"/>
      <c r="AI54" s="603"/>
      <c r="AJ54" s="603"/>
      <c r="AK54" s="603"/>
      <c r="AL54" s="603"/>
      <c r="AM54" s="603"/>
      <c r="AN54" s="603"/>
      <c r="AO54" s="603"/>
      <c r="AP54" s="603"/>
      <c r="AQ54" s="603"/>
      <c r="AR54" s="603"/>
      <c r="AS54" s="603"/>
      <c r="AT54" s="603"/>
      <c r="AU54" s="603"/>
      <c r="AV54" s="603"/>
      <c r="AW54" s="603"/>
      <c r="AX54" s="603"/>
      <c r="AY54" s="603"/>
      <c r="AZ54" s="603"/>
      <c r="BA54" s="603"/>
      <c r="BB54" s="603"/>
      <c r="BC54" s="603"/>
      <c r="BD54" s="603"/>
      <c r="BE54" s="603"/>
      <c r="BF54" s="603"/>
      <c r="BG54" s="603"/>
      <c r="BH54" s="603"/>
      <c r="BI54" s="603"/>
      <c r="BJ54" s="603"/>
      <c r="BK54" s="603"/>
      <c r="BL54" s="603"/>
      <c r="BM54" s="603"/>
      <c r="BN54" s="603"/>
      <c r="BO54" s="603"/>
      <c r="BP54" s="603"/>
      <c r="BQ54" s="603"/>
      <c r="BR54" s="603"/>
      <c r="BS54" s="603"/>
      <c r="BT54" s="603"/>
      <c r="BU54" s="603"/>
      <c r="BV54" s="603"/>
      <c r="BW54" s="603"/>
      <c r="BX54" s="603"/>
      <c r="BY54" s="603"/>
      <c r="BZ54" s="603"/>
      <c r="CA54" s="603"/>
      <c r="CB54" s="603"/>
      <c r="CC54" s="603"/>
      <c r="CD54" s="603"/>
      <c r="CE54" s="603"/>
      <c r="CF54" s="603"/>
      <c r="CG54" s="603"/>
      <c r="CH54" s="603"/>
      <c r="CI54" s="603"/>
      <c r="CJ54" s="603"/>
      <c r="CK54" s="603"/>
      <c r="CL54" s="603"/>
      <c r="CM54" s="603"/>
      <c r="CN54" s="603"/>
      <c r="CO54" s="603"/>
      <c r="CP54" s="603"/>
      <c r="CQ54" s="603"/>
      <c r="CR54" s="603"/>
      <c r="CS54" s="603"/>
      <c r="CT54" s="603"/>
      <c r="CU54" s="603"/>
      <c r="CV54" s="603"/>
      <c r="CW54" s="603"/>
      <c r="CX54" s="603"/>
      <c r="CY54" s="603"/>
      <c r="CZ54" s="603"/>
      <c r="DA54" s="603"/>
      <c r="DB54" s="603"/>
      <c r="DC54" s="603"/>
      <c r="DD54" s="603"/>
      <c r="DE54" s="603"/>
      <c r="DF54" s="603"/>
      <c r="DG54" s="603"/>
      <c r="DH54" s="603"/>
      <c r="DI54" s="603"/>
      <c r="DJ54" s="603"/>
      <c r="DK54" s="603"/>
      <c r="DL54" s="603"/>
      <c r="DM54" s="603"/>
      <c r="DN54" s="603"/>
      <c r="DO54" s="603"/>
      <c r="DP54" s="603"/>
      <c r="DQ54" s="603"/>
      <c r="DR54" s="603"/>
      <c r="DS54" s="603"/>
      <c r="DT54" s="603"/>
      <c r="DU54" s="603"/>
      <c r="DV54" s="603"/>
      <c r="DW54" s="603"/>
      <c r="DX54" s="603"/>
      <c r="DY54" s="603"/>
      <c r="DZ54" s="603"/>
      <c r="EA54" s="603"/>
      <c r="EB54" s="603"/>
      <c r="EC54" s="603"/>
      <c r="ED54" s="603"/>
      <c r="EE54" s="603"/>
      <c r="EF54" s="603"/>
      <c r="EG54" s="603"/>
      <c r="EH54" s="603"/>
      <c r="EI54" s="603"/>
      <c r="EJ54" s="603"/>
      <c r="EK54" s="603"/>
      <c r="EL54" s="603"/>
      <c r="EM54" s="603"/>
      <c r="EN54" s="603"/>
      <c r="EO54" s="603"/>
      <c r="EP54" s="603"/>
      <c r="EQ54" s="603"/>
      <c r="ER54" s="603"/>
      <c r="ES54" s="603"/>
      <c r="ET54" s="603"/>
      <c r="EU54" s="603"/>
      <c r="EV54" s="603"/>
    </row>
    <row r="55" spans="1:152" s="605" customFormat="1" ht="20.100000000000001" customHeight="1">
      <c r="A55" s="646" t="s">
        <v>62</v>
      </c>
      <c r="B55" s="647">
        <f>SUM(B56:B57)</f>
        <v>20000000</v>
      </c>
      <c r="C55" s="648">
        <f t="shared" si="3"/>
        <v>2.2941373091650554E-3</v>
      </c>
      <c r="D55" s="647">
        <f>SUM(D56:D57)</f>
        <v>3329000</v>
      </c>
      <c r="E55" s="648">
        <f t="shared" si="4"/>
        <v>5.7147457779289956E-4</v>
      </c>
      <c r="F55" s="647">
        <f>B55-D55</f>
        <v>16671000</v>
      </c>
      <c r="G55" s="649">
        <f>+F55/D55</f>
        <v>5.0078101531991592</v>
      </c>
      <c r="H55" s="650"/>
      <c r="I55" s="650"/>
      <c r="J55" s="650"/>
      <c r="K55" s="650"/>
      <c r="L55" s="661"/>
      <c r="M55" s="4" t="s">
        <v>2575</v>
      </c>
      <c r="N55" s="660">
        <f>D35+D77</f>
        <v>1988954000</v>
      </c>
      <c r="O55" s="661"/>
      <c r="P55" s="661"/>
      <c r="Q55" s="661"/>
      <c r="R55" s="661"/>
      <c r="S55" s="661"/>
      <c r="T55" s="661"/>
      <c r="U55" s="661"/>
      <c r="V55" s="603"/>
      <c r="W55" s="603"/>
      <c r="X55" s="603"/>
      <c r="Y55" s="603"/>
      <c r="Z55" s="603"/>
      <c r="AA55" s="603"/>
      <c r="AB55" s="603"/>
      <c r="AC55" s="603"/>
      <c r="AD55" s="603"/>
      <c r="AE55" s="603"/>
      <c r="AF55" s="603"/>
      <c r="AG55" s="603"/>
      <c r="AH55" s="603"/>
      <c r="AI55" s="603"/>
      <c r="AJ55" s="603"/>
      <c r="AK55" s="603"/>
      <c r="AL55" s="603"/>
      <c r="AM55" s="603"/>
      <c r="AN55" s="603"/>
      <c r="AO55" s="603"/>
      <c r="AP55" s="603"/>
      <c r="AQ55" s="603"/>
      <c r="AR55" s="603"/>
      <c r="AS55" s="603"/>
      <c r="AT55" s="603"/>
      <c r="AU55" s="603"/>
      <c r="AV55" s="603"/>
      <c r="AW55" s="603"/>
      <c r="AX55" s="603"/>
      <c r="AY55" s="603"/>
      <c r="AZ55" s="603"/>
      <c r="BA55" s="603"/>
      <c r="BB55" s="603"/>
      <c r="BC55" s="603"/>
      <c r="BD55" s="603"/>
      <c r="BE55" s="603"/>
      <c r="BF55" s="603"/>
      <c r="BG55" s="603"/>
      <c r="BH55" s="603"/>
      <c r="BI55" s="603"/>
      <c r="BJ55" s="603"/>
      <c r="BK55" s="603"/>
      <c r="BL55" s="603"/>
      <c r="BM55" s="603"/>
      <c r="BN55" s="603"/>
      <c r="BO55" s="603"/>
      <c r="BP55" s="603"/>
      <c r="BQ55" s="603"/>
      <c r="BR55" s="603"/>
      <c r="BS55" s="603"/>
      <c r="BT55" s="603"/>
      <c r="BU55" s="603"/>
      <c r="BV55" s="603"/>
      <c r="BW55" s="603"/>
      <c r="BX55" s="603"/>
      <c r="BY55" s="603"/>
      <c r="BZ55" s="603"/>
      <c r="CA55" s="603"/>
      <c r="CB55" s="603"/>
      <c r="CC55" s="603"/>
      <c r="CD55" s="603"/>
      <c r="CE55" s="603"/>
      <c r="CF55" s="603"/>
      <c r="CG55" s="603"/>
      <c r="CH55" s="603"/>
      <c r="CI55" s="603"/>
      <c r="CJ55" s="603"/>
      <c r="CK55" s="603"/>
      <c r="CL55" s="603"/>
      <c r="CM55" s="603"/>
      <c r="CN55" s="603"/>
      <c r="CO55" s="603"/>
      <c r="CP55" s="603"/>
      <c r="CQ55" s="603"/>
      <c r="CR55" s="603"/>
      <c r="CS55" s="603"/>
      <c r="CT55" s="603"/>
      <c r="CU55" s="603"/>
      <c r="CV55" s="603"/>
      <c r="CW55" s="603"/>
      <c r="CX55" s="603"/>
      <c r="CY55" s="603"/>
      <c r="CZ55" s="603"/>
      <c r="DA55" s="603"/>
      <c r="DB55" s="603"/>
      <c r="DC55" s="603"/>
      <c r="DD55" s="603"/>
      <c r="DE55" s="603"/>
      <c r="DF55" s="603"/>
      <c r="DG55" s="603"/>
      <c r="DH55" s="603"/>
      <c r="DI55" s="603"/>
      <c r="DJ55" s="603"/>
      <c r="DK55" s="603"/>
      <c r="DL55" s="603"/>
      <c r="DM55" s="603"/>
      <c r="DN55" s="603"/>
      <c r="DO55" s="603"/>
      <c r="DP55" s="603"/>
      <c r="DQ55" s="603"/>
      <c r="DR55" s="603"/>
      <c r="DS55" s="603"/>
      <c r="DT55" s="603"/>
      <c r="DU55" s="603"/>
      <c r="DV55" s="603"/>
      <c r="DW55" s="603"/>
      <c r="DX55" s="603"/>
      <c r="DY55" s="603"/>
      <c r="DZ55" s="603"/>
      <c r="EA55" s="603"/>
      <c r="EB55" s="603"/>
      <c r="EC55" s="603"/>
      <c r="ED55" s="603"/>
      <c r="EE55" s="603"/>
      <c r="EF55" s="603"/>
      <c r="EG55" s="603"/>
      <c r="EH55" s="603"/>
      <c r="EI55" s="603"/>
      <c r="EJ55" s="603"/>
      <c r="EK55" s="603"/>
      <c r="EL55" s="603"/>
      <c r="EM55" s="603"/>
      <c r="EN55" s="603"/>
      <c r="EO55" s="603"/>
      <c r="EP55" s="603"/>
      <c r="EQ55" s="603"/>
      <c r="ER55" s="603"/>
      <c r="ES55" s="603"/>
      <c r="ET55" s="603"/>
      <c r="EU55" s="603"/>
      <c r="EV55" s="603"/>
    </row>
    <row r="56" spans="1:152" s="605" customFormat="1" ht="20.100000000000001" customHeight="1">
      <c r="A56" s="708" t="s">
        <v>21</v>
      </c>
      <c r="B56" s="663">
        <f>'예산세출(사무국)'!Q243</f>
        <v>20000000</v>
      </c>
      <c r="C56" s="709">
        <f t="shared" si="3"/>
        <v>2.2941373091650554E-3</v>
      </c>
      <c r="D56" s="663">
        <f>'예산세출(사무국)'!R243</f>
        <v>3173000</v>
      </c>
      <c r="E56" s="709">
        <f t="shared" si="4"/>
        <v>5.4469475378097641E-4</v>
      </c>
      <c r="F56" s="663">
        <f>+B56-D56</f>
        <v>16827000</v>
      </c>
      <c r="G56" s="710">
        <f>+F56/D56</f>
        <v>5.3031831074692724</v>
      </c>
      <c r="H56" s="602"/>
      <c r="I56" s="602"/>
      <c r="J56" s="602"/>
      <c r="K56" s="602"/>
      <c r="L56" s="661"/>
      <c r="M56" s="4" t="s">
        <v>2572</v>
      </c>
      <c r="N56" s="660">
        <f>D47</f>
        <v>12500000</v>
      </c>
      <c r="O56" s="661"/>
      <c r="P56" s="661"/>
      <c r="Q56" s="661"/>
      <c r="R56" s="661"/>
      <c r="S56" s="661"/>
      <c r="T56" s="661"/>
      <c r="U56" s="661"/>
      <c r="V56" s="603"/>
      <c r="W56" s="603"/>
      <c r="X56" s="603"/>
      <c r="Y56" s="603"/>
      <c r="Z56" s="603"/>
      <c r="AA56" s="603"/>
      <c r="AB56" s="603"/>
      <c r="AC56" s="603"/>
      <c r="AD56" s="603"/>
      <c r="AE56" s="603"/>
      <c r="AF56" s="603"/>
      <c r="AG56" s="603"/>
      <c r="AH56" s="603"/>
      <c r="AI56" s="603"/>
      <c r="AJ56" s="603"/>
      <c r="AK56" s="603"/>
      <c r="AL56" s="603"/>
      <c r="AM56" s="603"/>
      <c r="AN56" s="603"/>
      <c r="AO56" s="603"/>
      <c r="AP56" s="603"/>
      <c r="AQ56" s="603"/>
      <c r="AR56" s="603"/>
      <c r="AS56" s="603"/>
      <c r="AT56" s="603"/>
      <c r="AU56" s="603"/>
      <c r="AV56" s="603"/>
      <c r="AW56" s="603"/>
      <c r="AX56" s="603"/>
      <c r="AY56" s="603"/>
      <c r="AZ56" s="603"/>
      <c r="BA56" s="603"/>
      <c r="BB56" s="603"/>
      <c r="BC56" s="603"/>
      <c r="BD56" s="603"/>
      <c r="BE56" s="603"/>
      <c r="BF56" s="603"/>
      <c r="BG56" s="603"/>
      <c r="BH56" s="603"/>
      <c r="BI56" s="603"/>
      <c r="BJ56" s="603"/>
      <c r="BK56" s="603"/>
      <c r="BL56" s="603"/>
      <c r="BM56" s="603"/>
      <c r="BN56" s="603"/>
      <c r="BO56" s="603"/>
      <c r="BP56" s="603"/>
      <c r="BQ56" s="603"/>
      <c r="BR56" s="603"/>
      <c r="BS56" s="603"/>
      <c r="BT56" s="603"/>
      <c r="BU56" s="603"/>
      <c r="BV56" s="603"/>
      <c r="BW56" s="603"/>
      <c r="BX56" s="603"/>
      <c r="BY56" s="603"/>
      <c r="BZ56" s="603"/>
      <c r="CA56" s="603"/>
      <c r="CB56" s="603"/>
      <c r="CC56" s="603"/>
      <c r="CD56" s="603"/>
      <c r="CE56" s="603"/>
      <c r="CF56" s="603"/>
      <c r="CG56" s="603"/>
      <c r="CH56" s="603"/>
      <c r="CI56" s="603"/>
      <c r="CJ56" s="603"/>
      <c r="CK56" s="603"/>
      <c r="CL56" s="603"/>
      <c r="CM56" s="603"/>
      <c r="CN56" s="603"/>
      <c r="CO56" s="603"/>
      <c r="CP56" s="603"/>
      <c r="CQ56" s="603"/>
      <c r="CR56" s="603"/>
      <c r="CS56" s="603"/>
      <c r="CT56" s="603"/>
      <c r="CU56" s="603"/>
      <c r="CV56" s="603"/>
      <c r="CW56" s="603"/>
      <c r="CX56" s="603"/>
      <c r="CY56" s="603"/>
      <c r="CZ56" s="603"/>
      <c r="DA56" s="603"/>
      <c r="DB56" s="603"/>
      <c r="DC56" s="603"/>
      <c r="DD56" s="603"/>
      <c r="DE56" s="603"/>
      <c r="DF56" s="603"/>
      <c r="DG56" s="603"/>
      <c r="DH56" s="603"/>
      <c r="DI56" s="603"/>
      <c r="DJ56" s="603"/>
      <c r="DK56" s="603"/>
      <c r="DL56" s="603"/>
      <c r="DM56" s="603"/>
      <c r="DN56" s="603"/>
      <c r="DO56" s="603"/>
      <c r="DP56" s="603"/>
      <c r="DQ56" s="603"/>
      <c r="DR56" s="603"/>
      <c r="DS56" s="603"/>
      <c r="DT56" s="603"/>
      <c r="DU56" s="603"/>
      <c r="DV56" s="603"/>
      <c r="DW56" s="603"/>
      <c r="DX56" s="603"/>
      <c r="DY56" s="603"/>
      <c r="DZ56" s="603"/>
      <c r="EA56" s="603"/>
      <c r="EB56" s="603"/>
      <c r="EC56" s="603"/>
      <c r="ED56" s="603"/>
      <c r="EE56" s="603"/>
      <c r="EF56" s="603"/>
      <c r="EG56" s="603"/>
      <c r="EH56" s="603"/>
      <c r="EI56" s="603"/>
      <c r="EJ56" s="603"/>
      <c r="EK56" s="603"/>
      <c r="EL56" s="603"/>
      <c r="EM56" s="603"/>
      <c r="EN56" s="603"/>
      <c r="EO56" s="603"/>
      <c r="EP56" s="603"/>
      <c r="EQ56" s="603"/>
      <c r="ER56" s="603"/>
      <c r="ES56" s="603"/>
      <c r="ET56" s="603"/>
      <c r="EU56" s="603"/>
      <c r="EV56" s="603"/>
    </row>
    <row r="57" spans="1:152" s="605" customFormat="1" ht="20.100000000000001" customHeight="1">
      <c r="A57" s="642" t="s">
        <v>63</v>
      </c>
      <c r="B57" s="643">
        <f>'예산세출(진로)'!Q162</f>
        <v>0</v>
      </c>
      <c r="C57" s="644">
        <f t="shared" si="3"/>
        <v>0</v>
      </c>
      <c r="D57" s="643">
        <f>'예산세출(진로)'!R162</f>
        <v>156000</v>
      </c>
      <c r="E57" s="644">
        <f t="shared" si="4"/>
        <v>2.6779824011923201E-5</v>
      </c>
      <c r="F57" s="643">
        <f>+B57-D57</f>
        <v>-156000</v>
      </c>
      <c r="G57" s="645">
        <f t="shared" si="2"/>
        <v>-1</v>
      </c>
      <c r="H57" s="602"/>
      <c r="I57" s="602"/>
      <c r="J57" s="602"/>
      <c r="K57" s="602"/>
      <c r="L57" s="661"/>
      <c r="M57" s="4" t="s">
        <v>2573</v>
      </c>
      <c r="N57" s="661"/>
      <c r="O57" s="661"/>
      <c r="P57" s="661"/>
      <c r="Q57" s="661"/>
      <c r="R57" s="661"/>
      <c r="S57" s="661"/>
      <c r="T57" s="661"/>
      <c r="U57" s="661"/>
      <c r="V57" s="603"/>
      <c r="W57" s="603"/>
      <c r="X57" s="603"/>
      <c r="Y57" s="603"/>
      <c r="Z57" s="603"/>
      <c r="AA57" s="603"/>
      <c r="AB57" s="603"/>
      <c r="AC57" s="603"/>
      <c r="AD57" s="603"/>
      <c r="AE57" s="603"/>
      <c r="AF57" s="603"/>
      <c r="AG57" s="603"/>
      <c r="AH57" s="603"/>
      <c r="AI57" s="603"/>
      <c r="AJ57" s="603"/>
      <c r="AK57" s="603"/>
      <c r="AL57" s="603"/>
      <c r="AM57" s="603"/>
      <c r="AN57" s="603"/>
      <c r="AO57" s="603"/>
      <c r="AP57" s="603"/>
      <c r="AQ57" s="603"/>
      <c r="AR57" s="603"/>
      <c r="AS57" s="603"/>
      <c r="AT57" s="603"/>
      <c r="AU57" s="603"/>
      <c r="AV57" s="603"/>
      <c r="AW57" s="603"/>
      <c r="AX57" s="603"/>
      <c r="AY57" s="603"/>
      <c r="AZ57" s="603"/>
      <c r="BA57" s="603"/>
      <c r="BB57" s="603"/>
      <c r="BC57" s="603"/>
      <c r="BD57" s="603"/>
      <c r="BE57" s="603"/>
      <c r="BF57" s="603"/>
      <c r="BG57" s="603"/>
      <c r="BH57" s="603"/>
      <c r="BI57" s="603"/>
      <c r="BJ57" s="603"/>
      <c r="BK57" s="603"/>
      <c r="BL57" s="603"/>
      <c r="BM57" s="603"/>
      <c r="BN57" s="603"/>
      <c r="BO57" s="603"/>
      <c r="BP57" s="603"/>
      <c r="BQ57" s="603"/>
      <c r="BR57" s="603"/>
      <c r="BS57" s="603"/>
      <c r="BT57" s="603"/>
      <c r="BU57" s="603"/>
      <c r="BV57" s="603"/>
      <c r="BW57" s="603"/>
      <c r="BX57" s="603"/>
      <c r="BY57" s="603"/>
      <c r="BZ57" s="603"/>
      <c r="CA57" s="603"/>
      <c r="CB57" s="603"/>
      <c r="CC57" s="603"/>
      <c r="CD57" s="603"/>
      <c r="CE57" s="603"/>
      <c r="CF57" s="603"/>
      <c r="CG57" s="603"/>
      <c r="CH57" s="603"/>
      <c r="CI57" s="603"/>
      <c r="CJ57" s="603"/>
      <c r="CK57" s="603"/>
      <c r="CL57" s="603"/>
      <c r="CM57" s="603"/>
      <c r="CN57" s="603"/>
      <c r="CO57" s="603"/>
      <c r="CP57" s="603"/>
      <c r="CQ57" s="603"/>
      <c r="CR57" s="603"/>
      <c r="CS57" s="603"/>
      <c r="CT57" s="603"/>
      <c r="CU57" s="603"/>
      <c r="CV57" s="603"/>
      <c r="CW57" s="603"/>
      <c r="CX57" s="603"/>
      <c r="CY57" s="603"/>
      <c r="CZ57" s="603"/>
      <c r="DA57" s="603"/>
      <c r="DB57" s="603"/>
      <c r="DC57" s="603"/>
      <c r="DD57" s="603"/>
      <c r="DE57" s="603"/>
      <c r="DF57" s="603"/>
      <c r="DG57" s="603"/>
      <c r="DH57" s="603"/>
      <c r="DI57" s="603"/>
      <c r="DJ57" s="603"/>
      <c r="DK57" s="603"/>
      <c r="DL57" s="603"/>
      <c r="DM57" s="603"/>
      <c r="DN57" s="603"/>
      <c r="DO57" s="603"/>
      <c r="DP57" s="603"/>
      <c r="DQ57" s="603"/>
      <c r="DR57" s="603"/>
      <c r="DS57" s="603"/>
      <c r="DT57" s="603"/>
      <c r="DU57" s="603"/>
      <c r="DV57" s="603"/>
      <c r="DW57" s="603"/>
      <c r="DX57" s="603"/>
      <c r="DY57" s="603"/>
      <c r="DZ57" s="603"/>
      <c r="EA57" s="603"/>
      <c r="EB57" s="603"/>
      <c r="EC57" s="603"/>
      <c r="ED57" s="603"/>
      <c r="EE57" s="603"/>
      <c r="EF57" s="603"/>
      <c r="EG57" s="603"/>
      <c r="EH57" s="603"/>
      <c r="EI57" s="603"/>
      <c r="EJ57" s="603"/>
      <c r="EK57" s="603"/>
      <c r="EL57" s="603"/>
      <c r="EM57" s="603"/>
      <c r="EN57" s="603"/>
      <c r="EO57" s="603"/>
      <c r="EP57" s="603"/>
      <c r="EQ57" s="603"/>
      <c r="ER57" s="603"/>
      <c r="ES57" s="603"/>
      <c r="ET57" s="603"/>
      <c r="EU57" s="603"/>
      <c r="EV57" s="603"/>
    </row>
    <row r="58" spans="1:152" s="605" customFormat="1" ht="20.100000000000001" customHeight="1">
      <c r="A58" s="665" t="s">
        <v>64</v>
      </c>
      <c r="B58" s="666">
        <f>SUM(B59,B66,B77,B83,B96)</f>
        <v>2418110000</v>
      </c>
      <c r="C58" s="667">
        <f t="shared" si="3"/>
        <v>0.27737381843325565</v>
      </c>
      <c r="D58" s="666">
        <f>SUM(D59,D66,D77,D83,D96)</f>
        <v>1420303000</v>
      </c>
      <c r="E58" s="667">
        <f t="shared" si="4"/>
        <v>0.24381707938209332</v>
      </c>
      <c r="F58" s="666">
        <f>SUM(F59,F66,F77,F83,F96)</f>
        <v>997807000</v>
      </c>
      <c r="G58" s="668">
        <f>+F58/D58</f>
        <v>0.70253107963582417</v>
      </c>
      <c r="H58" s="669"/>
      <c r="I58" s="669"/>
      <c r="J58" s="669"/>
      <c r="K58" s="669"/>
      <c r="L58" s="661"/>
      <c r="M58" s="4" t="s">
        <v>2574</v>
      </c>
      <c r="N58" s="603"/>
      <c r="O58" s="603"/>
      <c r="P58" s="603"/>
      <c r="Q58" s="603"/>
      <c r="R58" s="603"/>
      <c r="S58" s="603"/>
      <c r="T58" s="603"/>
      <c r="U58" s="603"/>
      <c r="V58" s="603"/>
      <c r="W58" s="603"/>
      <c r="X58" s="603"/>
      <c r="Y58" s="603"/>
      <c r="Z58" s="603"/>
      <c r="AA58" s="603"/>
      <c r="AB58" s="603"/>
      <c r="AC58" s="603"/>
      <c r="AD58" s="603"/>
      <c r="AE58" s="603"/>
      <c r="AF58" s="603"/>
      <c r="AG58" s="603"/>
      <c r="AH58" s="603"/>
      <c r="AI58" s="603"/>
      <c r="AJ58" s="603"/>
      <c r="AK58" s="603"/>
      <c r="AL58" s="603"/>
      <c r="AM58" s="603"/>
      <c r="AN58" s="603"/>
      <c r="AO58" s="603"/>
      <c r="AP58" s="603"/>
      <c r="AQ58" s="603"/>
      <c r="AR58" s="603"/>
      <c r="AS58" s="603"/>
      <c r="AT58" s="603"/>
      <c r="AU58" s="603"/>
      <c r="AV58" s="603"/>
      <c r="AW58" s="603"/>
      <c r="AX58" s="603"/>
      <c r="AY58" s="603"/>
      <c r="AZ58" s="603"/>
      <c r="BA58" s="603"/>
      <c r="BB58" s="603"/>
      <c r="BC58" s="603"/>
      <c r="BD58" s="603"/>
      <c r="BE58" s="603"/>
      <c r="BF58" s="603"/>
      <c r="BG58" s="603"/>
      <c r="BH58" s="603"/>
      <c r="BI58" s="603"/>
      <c r="BJ58" s="603"/>
      <c r="BK58" s="603"/>
      <c r="BL58" s="603"/>
      <c r="BM58" s="603"/>
      <c r="BN58" s="603"/>
      <c r="BO58" s="603"/>
      <c r="BP58" s="603"/>
      <c r="BQ58" s="603"/>
      <c r="BR58" s="603"/>
      <c r="BS58" s="603"/>
      <c r="BT58" s="603"/>
      <c r="BU58" s="603"/>
      <c r="BV58" s="603"/>
      <c r="BW58" s="603"/>
      <c r="BX58" s="603"/>
      <c r="BY58" s="603"/>
      <c r="BZ58" s="603"/>
      <c r="CA58" s="603"/>
      <c r="CB58" s="603"/>
      <c r="CC58" s="603"/>
      <c r="CD58" s="603"/>
      <c r="CE58" s="603"/>
      <c r="CF58" s="603"/>
      <c r="CG58" s="603"/>
      <c r="CH58" s="603"/>
      <c r="CI58" s="603"/>
      <c r="CJ58" s="603"/>
      <c r="CK58" s="603"/>
      <c r="CL58" s="603"/>
      <c r="CM58" s="603"/>
      <c r="CN58" s="603"/>
      <c r="CO58" s="603"/>
      <c r="CP58" s="603"/>
      <c r="CQ58" s="603"/>
      <c r="CR58" s="603"/>
      <c r="CS58" s="603"/>
      <c r="CT58" s="603"/>
      <c r="CU58" s="603"/>
      <c r="CV58" s="603"/>
      <c r="CW58" s="603"/>
      <c r="CX58" s="603"/>
      <c r="CY58" s="603"/>
      <c r="CZ58" s="603"/>
      <c r="DA58" s="603"/>
      <c r="DB58" s="603"/>
      <c r="DC58" s="603"/>
      <c r="DD58" s="603"/>
      <c r="DE58" s="603"/>
      <c r="DF58" s="603"/>
      <c r="DG58" s="603"/>
      <c r="DH58" s="603"/>
      <c r="DI58" s="603"/>
      <c r="DJ58" s="603"/>
      <c r="DK58" s="603"/>
      <c r="DL58" s="603"/>
      <c r="DM58" s="603"/>
      <c r="DN58" s="603"/>
      <c r="DO58" s="603"/>
      <c r="DP58" s="603"/>
      <c r="DQ58" s="603"/>
      <c r="DR58" s="603"/>
      <c r="DS58" s="603"/>
      <c r="DT58" s="603"/>
      <c r="DU58" s="603"/>
      <c r="DV58" s="603"/>
      <c r="DW58" s="603"/>
      <c r="DX58" s="603"/>
      <c r="DY58" s="603"/>
      <c r="DZ58" s="603"/>
      <c r="EA58" s="603"/>
      <c r="EB58" s="603"/>
      <c r="EC58" s="603"/>
      <c r="ED58" s="603"/>
      <c r="EE58" s="603"/>
      <c r="EF58" s="603"/>
      <c r="EG58" s="603"/>
      <c r="EH58" s="603"/>
      <c r="EI58" s="603"/>
      <c r="EJ58" s="603"/>
      <c r="EK58" s="603"/>
      <c r="EL58" s="603"/>
      <c r="EM58" s="603"/>
      <c r="EN58" s="603"/>
      <c r="EO58" s="603"/>
      <c r="EP58" s="603"/>
      <c r="EQ58" s="603"/>
      <c r="ER58" s="603"/>
      <c r="ES58" s="603"/>
      <c r="ET58" s="603"/>
      <c r="EU58" s="603"/>
      <c r="EV58" s="603"/>
    </row>
    <row r="59" spans="1:152" s="605" customFormat="1" ht="20.100000000000001" customHeight="1">
      <c r="A59" s="617" t="s">
        <v>65</v>
      </c>
      <c r="B59" s="618">
        <f>SUM(B60:B65)</f>
        <v>287290000</v>
      </c>
      <c r="C59" s="619">
        <f>+B59/$B$7</f>
        <v>3.2954135377501442E-2</v>
      </c>
      <c r="D59" s="618">
        <f>SUM(D60:D65)</f>
        <v>220537000</v>
      </c>
      <c r="E59" s="619">
        <f t="shared" si="4"/>
        <v>3.7858602872548122E-2</v>
      </c>
      <c r="F59" s="618">
        <f>SUM(F60:F65)</f>
        <v>66753000</v>
      </c>
      <c r="G59" s="620">
        <f>+F59/D59</f>
        <v>0.30268390338129203</v>
      </c>
      <c r="H59" s="670"/>
      <c r="I59" s="670"/>
      <c r="J59" s="670"/>
      <c r="K59" s="670"/>
      <c r="L59" s="661"/>
      <c r="M59" s="4" t="s">
        <v>2576</v>
      </c>
      <c r="N59" s="603"/>
      <c r="O59" s="603"/>
      <c r="P59" s="603"/>
      <c r="Q59" s="603"/>
      <c r="R59" s="603"/>
      <c r="S59" s="603"/>
      <c r="T59" s="603"/>
      <c r="U59" s="603"/>
      <c r="V59" s="603"/>
      <c r="W59" s="603"/>
      <c r="X59" s="603"/>
      <c r="Y59" s="603"/>
      <c r="Z59" s="603"/>
      <c r="AA59" s="603"/>
      <c r="AB59" s="603"/>
      <c r="AC59" s="603"/>
      <c r="AD59" s="603"/>
      <c r="AE59" s="603"/>
      <c r="AF59" s="603"/>
      <c r="AG59" s="603"/>
      <c r="AH59" s="603"/>
      <c r="AI59" s="603"/>
      <c r="AJ59" s="603"/>
      <c r="AK59" s="603"/>
      <c r="AL59" s="603"/>
      <c r="AM59" s="603"/>
      <c r="AN59" s="603"/>
      <c r="AO59" s="603"/>
      <c r="AP59" s="603"/>
      <c r="AQ59" s="603"/>
      <c r="AR59" s="603"/>
      <c r="AS59" s="603"/>
      <c r="AT59" s="603"/>
      <c r="AU59" s="603"/>
      <c r="AV59" s="603"/>
      <c r="AW59" s="603"/>
      <c r="AX59" s="603"/>
      <c r="AY59" s="603"/>
      <c r="AZ59" s="603"/>
      <c r="BA59" s="603"/>
      <c r="BB59" s="603"/>
      <c r="BC59" s="603"/>
      <c r="BD59" s="603"/>
      <c r="BE59" s="603"/>
      <c r="BF59" s="603"/>
      <c r="BG59" s="603"/>
      <c r="BH59" s="603"/>
      <c r="BI59" s="603"/>
      <c r="BJ59" s="603"/>
      <c r="BK59" s="603"/>
      <c r="BL59" s="603"/>
      <c r="BM59" s="603"/>
      <c r="BN59" s="603"/>
      <c r="BO59" s="603"/>
      <c r="BP59" s="603"/>
      <c r="BQ59" s="603"/>
      <c r="BR59" s="603"/>
      <c r="BS59" s="603"/>
      <c r="BT59" s="603"/>
      <c r="BU59" s="603"/>
      <c r="BV59" s="603"/>
      <c r="BW59" s="603"/>
      <c r="BX59" s="603"/>
      <c r="BY59" s="603"/>
      <c r="BZ59" s="603"/>
      <c r="CA59" s="603"/>
      <c r="CB59" s="603"/>
      <c r="CC59" s="603"/>
      <c r="CD59" s="603"/>
      <c r="CE59" s="603"/>
      <c r="CF59" s="603"/>
      <c r="CG59" s="603"/>
      <c r="CH59" s="603"/>
      <c r="CI59" s="603"/>
      <c r="CJ59" s="603"/>
      <c r="CK59" s="603"/>
      <c r="CL59" s="603"/>
      <c r="CM59" s="603"/>
      <c r="CN59" s="603"/>
      <c r="CO59" s="603"/>
      <c r="CP59" s="603"/>
      <c r="CQ59" s="603"/>
      <c r="CR59" s="603"/>
      <c r="CS59" s="603"/>
      <c r="CT59" s="603"/>
      <c r="CU59" s="603"/>
      <c r="CV59" s="603"/>
      <c r="CW59" s="603"/>
      <c r="CX59" s="603"/>
      <c r="CY59" s="603"/>
      <c r="CZ59" s="603"/>
      <c r="DA59" s="603"/>
      <c r="DB59" s="603"/>
      <c r="DC59" s="603"/>
      <c r="DD59" s="603"/>
      <c r="DE59" s="603"/>
      <c r="DF59" s="603"/>
      <c r="DG59" s="603"/>
      <c r="DH59" s="603"/>
      <c r="DI59" s="603"/>
      <c r="DJ59" s="603"/>
      <c r="DK59" s="603"/>
      <c r="DL59" s="603"/>
      <c r="DM59" s="603"/>
      <c r="DN59" s="603"/>
      <c r="DO59" s="603"/>
      <c r="DP59" s="603"/>
      <c r="DQ59" s="603"/>
      <c r="DR59" s="603"/>
      <c r="DS59" s="603"/>
      <c r="DT59" s="603"/>
      <c r="DU59" s="603"/>
      <c r="DV59" s="603"/>
      <c r="DW59" s="603"/>
      <c r="DX59" s="603"/>
      <c r="DY59" s="603"/>
      <c r="DZ59" s="603"/>
      <c r="EA59" s="603"/>
      <c r="EB59" s="603"/>
      <c r="EC59" s="603"/>
      <c r="ED59" s="603"/>
      <c r="EE59" s="603"/>
      <c r="EF59" s="603"/>
      <c r="EG59" s="603"/>
      <c r="EH59" s="603"/>
      <c r="EI59" s="603"/>
      <c r="EJ59" s="603"/>
      <c r="EK59" s="603"/>
      <c r="EL59" s="603"/>
      <c r="EM59" s="603"/>
      <c r="EN59" s="603"/>
      <c r="EO59" s="603"/>
      <c r="EP59" s="603"/>
      <c r="EQ59" s="603"/>
      <c r="ER59" s="603"/>
      <c r="ES59" s="603"/>
      <c r="ET59" s="603"/>
      <c r="EU59" s="603"/>
      <c r="EV59" s="603"/>
    </row>
    <row r="60" spans="1:152" s="605" customFormat="1" ht="20.100000000000001" customHeight="1">
      <c r="A60" s="671" t="s">
        <v>66</v>
      </c>
      <c r="B60" s="672">
        <f>'예산세출(마두)'!Q175+'예산세출(마두)'!Q178</f>
        <v>171310000</v>
      </c>
      <c r="C60" s="673">
        <f t="shared" si="3"/>
        <v>1.9650433121653283E-2</v>
      </c>
      <c r="D60" s="672">
        <f>'예산세출(마두)'!R175+'예산세출(마두)'!R178</f>
        <v>189437000</v>
      </c>
      <c r="E60" s="673">
        <f t="shared" si="4"/>
        <v>3.2519804624017282E-2</v>
      </c>
      <c r="F60" s="672">
        <f t="shared" ref="F60:F65" si="13">+B60-D60</f>
        <v>-18127000</v>
      </c>
      <c r="G60" s="674">
        <f t="shared" ref="G60:G100" si="14">+F60/D60</f>
        <v>-9.5688804193478569E-2</v>
      </c>
      <c r="H60" s="670"/>
      <c r="I60" s="670"/>
      <c r="J60" s="670"/>
      <c r="K60" s="670"/>
      <c r="L60" s="661"/>
      <c r="M60" s="603"/>
      <c r="N60" s="603"/>
      <c r="O60" s="603"/>
      <c r="P60" s="603"/>
      <c r="Q60" s="603"/>
      <c r="R60" s="603"/>
      <c r="S60" s="603"/>
      <c r="T60" s="603"/>
      <c r="U60" s="603"/>
      <c r="V60" s="603"/>
      <c r="W60" s="603"/>
      <c r="X60" s="603"/>
      <c r="Y60" s="603"/>
      <c r="Z60" s="603"/>
      <c r="AA60" s="603"/>
      <c r="AB60" s="603"/>
      <c r="AC60" s="603"/>
      <c r="AD60" s="603"/>
      <c r="AE60" s="603"/>
      <c r="AF60" s="603"/>
      <c r="AG60" s="603"/>
      <c r="AH60" s="603"/>
      <c r="AI60" s="603"/>
      <c r="AJ60" s="603"/>
      <c r="AK60" s="603"/>
      <c r="AL60" s="603"/>
      <c r="AM60" s="603"/>
      <c r="AN60" s="603"/>
      <c r="AO60" s="603"/>
      <c r="AP60" s="603"/>
      <c r="AQ60" s="603"/>
      <c r="AR60" s="603"/>
      <c r="AS60" s="603"/>
      <c r="AT60" s="603"/>
      <c r="AU60" s="603"/>
      <c r="AV60" s="603"/>
      <c r="AW60" s="603"/>
      <c r="AX60" s="603"/>
      <c r="AY60" s="603"/>
      <c r="AZ60" s="603"/>
      <c r="BA60" s="603"/>
      <c r="BB60" s="603"/>
      <c r="BC60" s="603"/>
      <c r="BD60" s="603"/>
      <c r="BE60" s="603"/>
      <c r="BF60" s="603"/>
      <c r="BG60" s="603"/>
      <c r="BH60" s="603"/>
      <c r="BI60" s="603"/>
      <c r="BJ60" s="603"/>
      <c r="BK60" s="603"/>
      <c r="BL60" s="603"/>
      <c r="BM60" s="603"/>
      <c r="BN60" s="603"/>
      <c r="BO60" s="603"/>
      <c r="BP60" s="603"/>
      <c r="BQ60" s="603"/>
      <c r="BR60" s="603"/>
      <c r="BS60" s="603"/>
      <c r="BT60" s="603"/>
      <c r="BU60" s="603"/>
      <c r="BV60" s="603"/>
      <c r="BW60" s="603"/>
      <c r="BX60" s="603"/>
      <c r="BY60" s="603"/>
      <c r="BZ60" s="603"/>
      <c r="CA60" s="603"/>
      <c r="CB60" s="603"/>
      <c r="CC60" s="603"/>
      <c r="CD60" s="603"/>
      <c r="CE60" s="603"/>
      <c r="CF60" s="603"/>
      <c r="CG60" s="603"/>
      <c r="CH60" s="603"/>
      <c r="CI60" s="603"/>
      <c r="CJ60" s="603"/>
      <c r="CK60" s="603"/>
      <c r="CL60" s="603"/>
      <c r="CM60" s="603"/>
      <c r="CN60" s="603"/>
      <c r="CO60" s="603"/>
      <c r="CP60" s="603"/>
      <c r="CQ60" s="603"/>
      <c r="CR60" s="603"/>
      <c r="CS60" s="603"/>
      <c r="CT60" s="603"/>
      <c r="CU60" s="603"/>
      <c r="CV60" s="603"/>
      <c r="CW60" s="603"/>
      <c r="CX60" s="603"/>
      <c r="CY60" s="603"/>
      <c r="CZ60" s="603"/>
      <c r="DA60" s="603"/>
      <c r="DB60" s="603"/>
      <c r="DC60" s="603"/>
      <c r="DD60" s="603"/>
      <c r="DE60" s="603"/>
      <c r="DF60" s="603"/>
      <c r="DG60" s="603"/>
      <c r="DH60" s="603"/>
      <c r="DI60" s="603"/>
      <c r="DJ60" s="603"/>
      <c r="DK60" s="603"/>
      <c r="DL60" s="603"/>
      <c r="DM60" s="603"/>
      <c r="DN60" s="603"/>
      <c r="DO60" s="603"/>
      <c r="DP60" s="603"/>
      <c r="DQ60" s="603"/>
      <c r="DR60" s="603"/>
      <c r="DS60" s="603"/>
      <c r="DT60" s="603"/>
      <c r="DU60" s="603"/>
      <c r="DV60" s="603"/>
      <c r="DW60" s="603"/>
      <c r="DX60" s="603"/>
      <c r="DY60" s="603"/>
      <c r="DZ60" s="603"/>
      <c r="EA60" s="603"/>
      <c r="EB60" s="603"/>
      <c r="EC60" s="603"/>
      <c r="ED60" s="603"/>
      <c r="EE60" s="603"/>
      <c r="EF60" s="603"/>
      <c r="EG60" s="603"/>
      <c r="EH60" s="603"/>
      <c r="EI60" s="603"/>
      <c r="EJ60" s="603"/>
      <c r="EK60" s="603"/>
      <c r="EL60" s="603"/>
      <c r="EM60" s="603"/>
      <c r="EN60" s="603"/>
      <c r="EO60" s="603"/>
      <c r="EP60" s="603"/>
      <c r="EQ60" s="603"/>
      <c r="ER60" s="603"/>
      <c r="ES60" s="603"/>
      <c r="ET60" s="603"/>
      <c r="EU60" s="603"/>
      <c r="EV60" s="603"/>
    </row>
    <row r="61" spans="1:152" s="605" customFormat="1" ht="20.100000000000001" customHeight="1">
      <c r="A61" s="635" t="s">
        <v>2131</v>
      </c>
      <c r="B61" s="675">
        <f>'예산세출(일산서구)'!Q182+'예산세출(일산서구)'!Q185</f>
        <v>67640000</v>
      </c>
      <c r="C61" s="676">
        <f>+B61/$B$7</f>
        <v>7.7587723795962179E-3</v>
      </c>
      <c r="D61" s="675">
        <f>'예산세출(일산서구)'!R182+'예산세출(일산서구)'!R185</f>
        <v>0</v>
      </c>
      <c r="E61" s="676">
        <f t="shared" si="4"/>
        <v>0</v>
      </c>
      <c r="F61" s="675">
        <f t="shared" si="13"/>
        <v>67640000</v>
      </c>
      <c r="G61" s="640">
        <v>1</v>
      </c>
      <c r="H61" s="670"/>
      <c r="I61" s="670"/>
      <c r="J61" s="670"/>
      <c r="K61" s="670"/>
      <c r="L61" s="661"/>
      <c r="M61" s="603"/>
      <c r="N61" s="603"/>
      <c r="O61" s="603"/>
      <c r="P61" s="603"/>
      <c r="Q61" s="603"/>
      <c r="R61" s="603"/>
      <c r="S61" s="603"/>
      <c r="T61" s="603"/>
      <c r="U61" s="603"/>
      <c r="V61" s="603"/>
      <c r="W61" s="603"/>
      <c r="X61" s="603"/>
      <c r="Y61" s="603"/>
      <c r="Z61" s="603"/>
      <c r="AA61" s="603"/>
      <c r="AB61" s="603"/>
      <c r="AC61" s="603"/>
      <c r="AD61" s="603"/>
      <c r="AE61" s="603"/>
      <c r="AF61" s="603"/>
      <c r="AG61" s="603"/>
      <c r="AH61" s="603"/>
      <c r="AI61" s="603"/>
      <c r="AJ61" s="603"/>
      <c r="AK61" s="603"/>
      <c r="AL61" s="603"/>
      <c r="AM61" s="603"/>
      <c r="AN61" s="603"/>
      <c r="AO61" s="603"/>
      <c r="AP61" s="603"/>
      <c r="AQ61" s="603"/>
      <c r="AR61" s="603"/>
      <c r="AS61" s="603"/>
      <c r="AT61" s="603"/>
      <c r="AU61" s="603"/>
      <c r="AV61" s="603"/>
      <c r="AW61" s="603"/>
      <c r="AX61" s="603"/>
      <c r="AY61" s="603"/>
      <c r="AZ61" s="603"/>
      <c r="BA61" s="603"/>
      <c r="BB61" s="603"/>
      <c r="BC61" s="603"/>
      <c r="BD61" s="603"/>
      <c r="BE61" s="603"/>
      <c r="BF61" s="603"/>
      <c r="BG61" s="603"/>
      <c r="BH61" s="603"/>
      <c r="BI61" s="603"/>
      <c r="BJ61" s="603"/>
      <c r="BK61" s="603"/>
      <c r="BL61" s="603"/>
      <c r="BM61" s="603"/>
      <c r="BN61" s="603"/>
      <c r="BO61" s="603"/>
      <c r="BP61" s="603"/>
      <c r="BQ61" s="603"/>
      <c r="BR61" s="603"/>
      <c r="BS61" s="603"/>
      <c r="BT61" s="603"/>
      <c r="BU61" s="603"/>
      <c r="BV61" s="603"/>
      <c r="BW61" s="603"/>
      <c r="BX61" s="603"/>
      <c r="BY61" s="603"/>
      <c r="BZ61" s="603"/>
      <c r="CA61" s="603"/>
      <c r="CB61" s="603"/>
      <c r="CC61" s="603"/>
      <c r="CD61" s="603"/>
      <c r="CE61" s="603"/>
      <c r="CF61" s="603"/>
      <c r="CG61" s="603"/>
      <c r="CH61" s="603"/>
      <c r="CI61" s="603"/>
      <c r="CJ61" s="603"/>
      <c r="CK61" s="603"/>
      <c r="CL61" s="603"/>
      <c r="CM61" s="603"/>
      <c r="CN61" s="603"/>
      <c r="CO61" s="603"/>
      <c r="CP61" s="603"/>
      <c r="CQ61" s="603"/>
      <c r="CR61" s="603"/>
      <c r="CS61" s="603"/>
      <c r="CT61" s="603"/>
      <c r="CU61" s="603"/>
      <c r="CV61" s="603"/>
      <c r="CW61" s="603"/>
      <c r="CX61" s="603"/>
      <c r="CY61" s="603"/>
      <c r="CZ61" s="603"/>
      <c r="DA61" s="603"/>
      <c r="DB61" s="603"/>
      <c r="DC61" s="603"/>
      <c r="DD61" s="603"/>
      <c r="DE61" s="603"/>
      <c r="DF61" s="603"/>
      <c r="DG61" s="603"/>
      <c r="DH61" s="603"/>
      <c r="DI61" s="603"/>
      <c r="DJ61" s="603"/>
      <c r="DK61" s="603"/>
      <c r="DL61" s="603"/>
      <c r="DM61" s="603"/>
      <c r="DN61" s="603"/>
      <c r="DO61" s="603"/>
      <c r="DP61" s="603"/>
      <c r="DQ61" s="603"/>
      <c r="DR61" s="603"/>
      <c r="DS61" s="603"/>
      <c r="DT61" s="603"/>
      <c r="DU61" s="603"/>
      <c r="DV61" s="603"/>
      <c r="DW61" s="603"/>
      <c r="DX61" s="603"/>
      <c r="DY61" s="603"/>
      <c r="DZ61" s="603"/>
      <c r="EA61" s="603"/>
      <c r="EB61" s="603"/>
      <c r="EC61" s="603"/>
      <c r="ED61" s="603"/>
      <c r="EE61" s="603"/>
      <c r="EF61" s="603"/>
      <c r="EG61" s="603"/>
      <c r="EH61" s="603"/>
      <c r="EI61" s="603"/>
      <c r="EJ61" s="603"/>
      <c r="EK61" s="603"/>
      <c r="EL61" s="603"/>
      <c r="EM61" s="603"/>
      <c r="EN61" s="603"/>
      <c r="EO61" s="603"/>
      <c r="EP61" s="603"/>
      <c r="EQ61" s="603"/>
      <c r="ER61" s="603"/>
      <c r="ES61" s="603"/>
      <c r="ET61" s="603"/>
      <c r="EU61" s="603"/>
      <c r="EV61" s="603"/>
    </row>
    <row r="62" spans="1:152" s="605" customFormat="1" ht="20.100000000000001" customHeight="1">
      <c r="A62" s="677" t="s">
        <v>67</v>
      </c>
      <c r="B62" s="675">
        <f>'예산세출(토당)'!O86</f>
        <v>25640000</v>
      </c>
      <c r="C62" s="676">
        <f t="shared" si="3"/>
        <v>2.9410840303496014E-3</v>
      </c>
      <c r="D62" s="675">
        <f>'예산세출(토당)'!P86</f>
        <v>11600000</v>
      </c>
      <c r="E62" s="676">
        <f t="shared" si="4"/>
        <v>1.9913202470404432E-3</v>
      </c>
      <c r="F62" s="675">
        <f t="shared" si="13"/>
        <v>14040000</v>
      </c>
      <c r="G62" s="678">
        <f t="shared" si="14"/>
        <v>1.210344827586207</v>
      </c>
      <c r="H62" s="670"/>
      <c r="I62" s="670"/>
      <c r="J62" s="670"/>
      <c r="K62" s="670"/>
      <c r="L62" s="661"/>
      <c r="M62" s="603"/>
      <c r="N62" s="603"/>
      <c r="O62" s="603"/>
      <c r="P62" s="603"/>
      <c r="Q62" s="603"/>
      <c r="R62" s="603"/>
      <c r="S62" s="603"/>
      <c r="T62" s="603"/>
      <c r="U62" s="603"/>
      <c r="V62" s="603"/>
      <c r="W62" s="603"/>
      <c r="X62" s="603"/>
      <c r="Y62" s="603"/>
      <c r="Z62" s="603"/>
      <c r="AA62" s="603"/>
      <c r="AB62" s="603"/>
      <c r="AC62" s="603"/>
      <c r="AD62" s="603"/>
      <c r="AE62" s="603"/>
      <c r="AF62" s="603"/>
      <c r="AG62" s="603"/>
      <c r="AH62" s="603"/>
      <c r="AI62" s="603"/>
      <c r="AJ62" s="603"/>
      <c r="AK62" s="603"/>
      <c r="AL62" s="603"/>
      <c r="AM62" s="603"/>
      <c r="AN62" s="603"/>
      <c r="AO62" s="603"/>
      <c r="AP62" s="603"/>
      <c r="AQ62" s="603"/>
      <c r="AR62" s="603"/>
      <c r="AS62" s="603"/>
      <c r="AT62" s="603"/>
      <c r="AU62" s="603"/>
      <c r="AV62" s="603"/>
      <c r="AW62" s="603"/>
      <c r="AX62" s="603"/>
      <c r="AY62" s="603"/>
      <c r="AZ62" s="603"/>
      <c r="BA62" s="603"/>
      <c r="BB62" s="603"/>
      <c r="BC62" s="603"/>
      <c r="BD62" s="603"/>
      <c r="BE62" s="603"/>
      <c r="BF62" s="603"/>
      <c r="BG62" s="603"/>
      <c r="BH62" s="603"/>
      <c r="BI62" s="603"/>
      <c r="BJ62" s="603"/>
      <c r="BK62" s="603"/>
      <c r="BL62" s="603"/>
      <c r="BM62" s="603"/>
      <c r="BN62" s="603"/>
      <c r="BO62" s="603"/>
      <c r="BP62" s="603"/>
      <c r="BQ62" s="603"/>
      <c r="BR62" s="603"/>
      <c r="BS62" s="603"/>
      <c r="BT62" s="603"/>
      <c r="BU62" s="603"/>
      <c r="BV62" s="603"/>
      <c r="BW62" s="603"/>
      <c r="BX62" s="603"/>
      <c r="BY62" s="603"/>
      <c r="BZ62" s="603"/>
      <c r="CA62" s="603"/>
      <c r="CB62" s="603"/>
      <c r="CC62" s="603"/>
      <c r="CD62" s="603"/>
      <c r="CE62" s="603"/>
      <c r="CF62" s="603"/>
      <c r="CG62" s="603"/>
      <c r="CH62" s="603"/>
      <c r="CI62" s="603"/>
      <c r="CJ62" s="603"/>
      <c r="CK62" s="603"/>
      <c r="CL62" s="603"/>
      <c r="CM62" s="603"/>
      <c r="CN62" s="603"/>
      <c r="CO62" s="603"/>
      <c r="CP62" s="603"/>
      <c r="CQ62" s="603"/>
      <c r="CR62" s="603"/>
      <c r="CS62" s="603"/>
      <c r="CT62" s="603"/>
      <c r="CU62" s="603"/>
      <c r="CV62" s="603"/>
      <c r="CW62" s="603"/>
      <c r="CX62" s="603"/>
      <c r="CY62" s="603"/>
      <c r="CZ62" s="603"/>
      <c r="DA62" s="603"/>
      <c r="DB62" s="603"/>
      <c r="DC62" s="603"/>
      <c r="DD62" s="603"/>
      <c r="DE62" s="603"/>
      <c r="DF62" s="603"/>
      <c r="DG62" s="603"/>
      <c r="DH62" s="603"/>
      <c r="DI62" s="603"/>
      <c r="DJ62" s="603"/>
      <c r="DK62" s="603"/>
      <c r="DL62" s="603"/>
      <c r="DM62" s="603"/>
      <c r="DN62" s="603"/>
      <c r="DO62" s="603"/>
      <c r="DP62" s="603"/>
      <c r="DQ62" s="603"/>
      <c r="DR62" s="603"/>
      <c r="DS62" s="603"/>
      <c r="DT62" s="603"/>
      <c r="DU62" s="603"/>
      <c r="DV62" s="603"/>
      <c r="DW62" s="603"/>
      <c r="DX62" s="603"/>
      <c r="DY62" s="603"/>
      <c r="DZ62" s="603"/>
      <c r="EA62" s="603"/>
      <c r="EB62" s="603"/>
      <c r="EC62" s="603"/>
      <c r="ED62" s="603"/>
      <c r="EE62" s="603"/>
      <c r="EF62" s="603"/>
      <c r="EG62" s="603"/>
      <c r="EH62" s="603"/>
      <c r="EI62" s="603"/>
      <c r="EJ62" s="603"/>
      <c r="EK62" s="603"/>
      <c r="EL62" s="603"/>
      <c r="EM62" s="603"/>
      <c r="EN62" s="603"/>
      <c r="EO62" s="603"/>
      <c r="EP62" s="603"/>
      <c r="EQ62" s="603"/>
      <c r="ER62" s="603"/>
      <c r="ES62" s="603"/>
      <c r="ET62" s="603"/>
      <c r="EU62" s="603"/>
      <c r="EV62" s="603"/>
    </row>
    <row r="63" spans="1:152" s="605" customFormat="1" ht="20.100000000000001" customHeight="1">
      <c r="A63" s="679" t="s">
        <v>68</v>
      </c>
      <c r="B63" s="680">
        <f>'예산세출(상담)'!Q211</f>
        <v>0</v>
      </c>
      <c r="C63" s="681">
        <f t="shared" si="3"/>
        <v>0</v>
      </c>
      <c r="D63" s="680">
        <f>'예산세출(상담)'!R211</f>
        <v>600000</v>
      </c>
      <c r="E63" s="682">
        <f t="shared" si="4"/>
        <v>1.0299932312278155E-4</v>
      </c>
      <c r="F63" s="680">
        <f t="shared" si="13"/>
        <v>-600000</v>
      </c>
      <c r="G63" s="683">
        <f t="shared" si="14"/>
        <v>-1</v>
      </c>
      <c r="H63" s="670"/>
      <c r="I63" s="670"/>
      <c r="J63" s="670"/>
      <c r="K63" s="670"/>
      <c r="L63" s="661"/>
      <c r="M63" s="603"/>
      <c r="N63" s="603"/>
      <c r="O63" s="603"/>
      <c r="P63" s="603"/>
      <c r="Q63" s="603"/>
      <c r="R63" s="603"/>
      <c r="S63" s="603"/>
      <c r="T63" s="603"/>
      <c r="U63" s="603"/>
      <c r="V63" s="603"/>
      <c r="W63" s="603"/>
      <c r="X63" s="603"/>
      <c r="Y63" s="603"/>
      <c r="Z63" s="603"/>
      <c r="AA63" s="603"/>
      <c r="AB63" s="603"/>
      <c r="AC63" s="603"/>
      <c r="AD63" s="603"/>
      <c r="AE63" s="603"/>
      <c r="AF63" s="603"/>
      <c r="AG63" s="603"/>
      <c r="AH63" s="603"/>
      <c r="AI63" s="603"/>
      <c r="AJ63" s="603"/>
      <c r="AK63" s="603"/>
      <c r="AL63" s="603"/>
      <c r="AM63" s="603"/>
      <c r="AN63" s="603"/>
      <c r="AO63" s="603"/>
      <c r="AP63" s="603"/>
      <c r="AQ63" s="603"/>
      <c r="AR63" s="603"/>
      <c r="AS63" s="603"/>
      <c r="AT63" s="603"/>
      <c r="AU63" s="603"/>
      <c r="AV63" s="603"/>
      <c r="AW63" s="603"/>
      <c r="AX63" s="603"/>
      <c r="AY63" s="603"/>
      <c r="AZ63" s="603"/>
      <c r="BA63" s="603"/>
      <c r="BB63" s="603"/>
      <c r="BC63" s="603"/>
      <c r="BD63" s="603"/>
      <c r="BE63" s="603"/>
      <c r="BF63" s="603"/>
      <c r="BG63" s="603"/>
      <c r="BH63" s="603"/>
      <c r="BI63" s="603"/>
      <c r="BJ63" s="603"/>
      <c r="BK63" s="603"/>
      <c r="BL63" s="603"/>
      <c r="BM63" s="603"/>
      <c r="BN63" s="603"/>
      <c r="BO63" s="603"/>
      <c r="BP63" s="603"/>
      <c r="BQ63" s="603"/>
      <c r="BR63" s="603"/>
      <c r="BS63" s="603"/>
      <c r="BT63" s="603"/>
      <c r="BU63" s="603"/>
      <c r="BV63" s="603"/>
      <c r="BW63" s="603"/>
      <c r="BX63" s="603"/>
      <c r="BY63" s="603"/>
      <c r="BZ63" s="603"/>
      <c r="CA63" s="603"/>
      <c r="CB63" s="603"/>
      <c r="CC63" s="603"/>
      <c r="CD63" s="603"/>
      <c r="CE63" s="603"/>
      <c r="CF63" s="603"/>
      <c r="CG63" s="603"/>
      <c r="CH63" s="603"/>
      <c r="CI63" s="603"/>
      <c r="CJ63" s="603"/>
      <c r="CK63" s="603"/>
      <c r="CL63" s="603"/>
      <c r="CM63" s="603"/>
      <c r="CN63" s="603"/>
      <c r="CO63" s="603"/>
      <c r="CP63" s="603"/>
      <c r="CQ63" s="603"/>
      <c r="CR63" s="603"/>
      <c r="CS63" s="603"/>
      <c r="CT63" s="603"/>
      <c r="CU63" s="603"/>
      <c r="CV63" s="603"/>
      <c r="CW63" s="603"/>
      <c r="CX63" s="603"/>
      <c r="CY63" s="603"/>
      <c r="CZ63" s="603"/>
      <c r="DA63" s="603"/>
      <c r="DB63" s="603"/>
      <c r="DC63" s="603"/>
      <c r="DD63" s="603"/>
      <c r="DE63" s="603"/>
      <c r="DF63" s="603"/>
      <c r="DG63" s="603"/>
      <c r="DH63" s="603"/>
      <c r="DI63" s="603"/>
      <c r="DJ63" s="603"/>
      <c r="DK63" s="603"/>
      <c r="DL63" s="603"/>
      <c r="DM63" s="603"/>
      <c r="DN63" s="603"/>
      <c r="DO63" s="603"/>
      <c r="DP63" s="603"/>
      <c r="DQ63" s="603"/>
      <c r="DR63" s="603"/>
      <c r="DS63" s="603"/>
      <c r="DT63" s="603"/>
      <c r="DU63" s="603"/>
      <c r="DV63" s="603"/>
      <c r="DW63" s="603"/>
      <c r="DX63" s="603"/>
      <c r="DY63" s="603"/>
      <c r="DZ63" s="603"/>
      <c r="EA63" s="603"/>
      <c r="EB63" s="603"/>
      <c r="EC63" s="603"/>
      <c r="ED63" s="603"/>
      <c r="EE63" s="603"/>
      <c r="EF63" s="603"/>
      <c r="EG63" s="603"/>
      <c r="EH63" s="603"/>
      <c r="EI63" s="603"/>
      <c r="EJ63" s="603"/>
      <c r="EK63" s="603"/>
      <c r="EL63" s="603"/>
      <c r="EM63" s="603"/>
      <c r="EN63" s="603"/>
      <c r="EO63" s="603"/>
      <c r="EP63" s="603"/>
      <c r="EQ63" s="603"/>
      <c r="ER63" s="603"/>
      <c r="ES63" s="603"/>
      <c r="ET63" s="603"/>
      <c r="EU63" s="603"/>
      <c r="EV63" s="603"/>
    </row>
    <row r="64" spans="1:152" s="605" customFormat="1" ht="20.100000000000001" customHeight="1">
      <c r="A64" s="677" t="s">
        <v>69</v>
      </c>
      <c r="B64" s="675">
        <f>'예산세출(화정)'!O119</f>
        <v>14700000</v>
      </c>
      <c r="C64" s="676">
        <f t="shared" si="3"/>
        <v>1.6861909222363159E-3</v>
      </c>
      <c r="D64" s="675">
        <f>'예산세출(화정)'!P119</f>
        <v>14400000</v>
      </c>
      <c r="E64" s="676">
        <f t="shared" si="4"/>
        <v>2.4719837549467571E-3</v>
      </c>
      <c r="F64" s="675">
        <f t="shared" si="13"/>
        <v>300000</v>
      </c>
      <c r="G64" s="678">
        <f t="shared" si="14"/>
        <v>2.0833333333333332E-2</v>
      </c>
      <c r="H64" s="670"/>
      <c r="I64" s="670"/>
      <c r="J64" s="670"/>
      <c r="K64" s="670"/>
      <c r="L64" s="603"/>
      <c r="M64" s="603"/>
      <c r="N64" s="603"/>
      <c r="O64" s="603"/>
      <c r="P64" s="603"/>
      <c r="Q64" s="603"/>
      <c r="R64" s="603"/>
      <c r="S64" s="603"/>
      <c r="T64" s="603"/>
      <c r="U64" s="603"/>
      <c r="V64" s="603"/>
      <c r="W64" s="603"/>
      <c r="X64" s="603"/>
      <c r="Y64" s="603"/>
      <c r="Z64" s="603"/>
      <c r="AA64" s="603"/>
      <c r="AB64" s="603"/>
      <c r="AC64" s="603"/>
      <c r="AD64" s="603"/>
      <c r="AE64" s="603"/>
      <c r="AF64" s="603"/>
      <c r="AG64" s="603"/>
      <c r="AH64" s="603"/>
      <c r="AI64" s="603"/>
      <c r="AJ64" s="603"/>
      <c r="AK64" s="603"/>
      <c r="AL64" s="603"/>
      <c r="AM64" s="603"/>
      <c r="AN64" s="603"/>
      <c r="AO64" s="603"/>
      <c r="AP64" s="603"/>
      <c r="AQ64" s="603"/>
      <c r="AR64" s="603"/>
      <c r="AS64" s="603"/>
      <c r="AT64" s="603"/>
      <c r="AU64" s="603"/>
      <c r="AV64" s="603"/>
      <c r="AW64" s="603"/>
      <c r="AX64" s="603"/>
      <c r="AY64" s="603"/>
      <c r="AZ64" s="603"/>
      <c r="BA64" s="603"/>
      <c r="BB64" s="603"/>
      <c r="BC64" s="603"/>
      <c r="BD64" s="603"/>
      <c r="BE64" s="603"/>
      <c r="BF64" s="603"/>
      <c r="BG64" s="603"/>
      <c r="BH64" s="603"/>
      <c r="BI64" s="603"/>
      <c r="BJ64" s="603"/>
      <c r="BK64" s="603"/>
      <c r="BL64" s="603"/>
      <c r="BM64" s="603"/>
      <c r="BN64" s="603"/>
      <c r="BO64" s="603"/>
      <c r="BP64" s="603"/>
      <c r="BQ64" s="603"/>
      <c r="BR64" s="603"/>
      <c r="BS64" s="603"/>
      <c r="BT64" s="603"/>
      <c r="BU64" s="603"/>
      <c r="BV64" s="603"/>
      <c r="BW64" s="603"/>
      <c r="BX64" s="603"/>
      <c r="BY64" s="603"/>
      <c r="BZ64" s="603"/>
      <c r="CA64" s="603"/>
      <c r="CB64" s="603"/>
      <c r="CC64" s="603"/>
      <c r="CD64" s="603"/>
      <c r="CE64" s="603"/>
      <c r="CF64" s="603"/>
      <c r="CG64" s="603"/>
      <c r="CH64" s="603"/>
      <c r="CI64" s="603"/>
      <c r="CJ64" s="603"/>
      <c r="CK64" s="603"/>
      <c r="CL64" s="603"/>
      <c r="CM64" s="603"/>
      <c r="CN64" s="603"/>
      <c r="CO64" s="603"/>
      <c r="CP64" s="603"/>
      <c r="CQ64" s="603"/>
      <c r="CR64" s="603"/>
      <c r="CS64" s="603"/>
      <c r="CT64" s="603"/>
      <c r="CU64" s="603"/>
      <c r="CV64" s="603"/>
      <c r="CW64" s="603"/>
      <c r="CX64" s="603"/>
      <c r="CY64" s="603"/>
      <c r="CZ64" s="603"/>
      <c r="DA64" s="603"/>
      <c r="DB64" s="603"/>
      <c r="DC64" s="603"/>
      <c r="DD64" s="603"/>
      <c r="DE64" s="603"/>
      <c r="DF64" s="603"/>
      <c r="DG64" s="603"/>
      <c r="DH64" s="603"/>
      <c r="DI64" s="603"/>
      <c r="DJ64" s="603"/>
      <c r="DK64" s="603"/>
      <c r="DL64" s="603"/>
      <c r="DM64" s="603"/>
      <c r="DN64" s="603"/>
      <c r="DO64" s="603"/>
      <c r="DP64" s="603"/>
      <c r="DQ64" s="603"/>
      <c r="DR64" s="603"/>
      <c r="DS64" s="603"/>
      <c r="DT64" s="603"/>
      <c r="DU64" s="603"/>
      <c r="DV64" s="603"/>
      <c r="DW64" s="603"/>
      <c r="DX64" s="603"/>
      <c r="DY64" s="603"/>
      <c r="DZ64" s="603"/>
      <c r="EA64" s="603"/>
      <c r="EB64" s="603"/>
      <c r="EC64" s="603"/>
      <c r="ED64" s="603"/>
      <c r="EE64" s="603"/>
      <c r="EF64" s="603"/>
      <c r="EG64" s="603"/>
      <c r="EH64" s="603"/>
      <c r="EI64" s="603"/>
      <c r="EJ64" s="603"/>
      <c r="EK64" s="603"/>
      <c r="EL64" s="603"/>
      <c r="EM64" s="603"/>
      <c r="EN64" s="603"/>
      <c r="EO64" s="603"/>
      <c r="EP64" s="603"/>
      <c r="EQ64" s="603"/>
      <c r="ER64" s="603"/>
      <c r="ES64" s="603"/>
      <c r="ET64" s="603"/>
      <c r="EU64" s="603"/>
      <c r="EV64" s="603"/>
    </row>
    <row r="65" spans="1:152" s="605" customFormat="1" ht="20.100000000000001" customHeight="1">
      <c r="A65" s="684" t="s">
        <v>2515</v>
      </c>
      <c r="B65" s="685">
        <f>'예산세출(백마)'!Q75</f>
        <v>8000000</v>
      </c>
      <c r="C65" s="686">
        <f t="shared" si="3"/>
        <v>9.176549236660222E-4</v>
      </c>
      <c r="D65" s="685">
        <f>'예산세출(백마)'!R75</f>
        <v>4500000</v>
      </c>
      <c r="E65" s="676">
        <f t="shared" si="4"/>
        <v>7.7249492342086157E-4</v>
      </c>
      <c r="F65" s="685">
        <f t="shared" si="13"/>
        <v>3500000</v>
      </c>
      <c r="G65" s="640">
        <f t="shared" si="14"/>
        <v>0.77777777777777779</v>
      </c>
      <c r="H65" s="670"/>
      <c r="I65" s="670"/>
      <c r="J65" s="670"/>
      <c r="K65" s="670"/>
      <c r="L65" s="603"/>
      <c r="M65" s="603"/>
      <c r="N65" s="604"/>
      <c r="O65" s="603"/>
      <c r="P65" s="603"/>
      <c r="Q65" s="603"/>
      <c r="R65" s="603"/>
      <c r="S65" s="603"/>
      <c r="T65" s="603"/>
      <c r="U65" s="603"/>
      <c r="V65" s="603"/>
      <c r="W65" s="603"/>
      <c r="X65" s="603"/>
      <c r="Y65" s="603"/>
      <c r="Z65" s="603"/>
      <c r="AA65" s="603"/>
      <c r="AB65" s="603"/>
      <c r="AC65" s="603"/>
      <c r="AD65" s="603"/>
      <c r="AE65" s="603"/>
      <c r="AF65" s="603"/>
      <c r="AG65" s="603"/>
      <c r="AH65" s="603"/>
      <c r="AI65" s="603"/>
      <c r="AJ65" s="603"/>
      <c r="AK65" s="603"/>
      <c r="AL65" s="603"/>
      <c r="AM65" s="603"/>
      <c r="AN65" s="603"/>
      <c r="AO65" s="603"/>
      <c r="AP65" s="603"/>
      <c r="AQ65" s="603"/>
      <c r="AR65" s="603"/>
      <c r="AS65" s="603"/>
      <c r="AT65" s="603"/>
      <c r="AU65" s="603"/>
      <c r="AV65" s="603"/>
      <c r="AW65" s="603"/>
      <c r="AX65" s="603"/>
      <c r="AY65" s="603"/>
      <c r="AZ65" s="603"/>
      <c r="BA65" s="603"/>
      <c r="BB65" s="603"/>
      <c r="BC65" s="603"/>
      <c r="BD65" s="603"/>
      <c r="BE65" s="603"/>
      <c r="BF65" s="603"/>
      <c r="BG65" s="603"/>
      <c r="BH65" s="603"/>
      <c r="BI65" s="603"/>
      <c r="BJ65" s="603"/>
      <c r="BK65" s="603"/>
      <c r="BL65" s="603"/>
      <c r="BM65" s="603"/>
      <c r="BN65" s="603"/>
      <c r="BO65" s="603"/>
      <c r="BP65" s="603"/>
      <c r="BQ65" s="603"/>
      <c r="BR65" s="603"/>
      <c r="BS65" s="603"/>
      <c r="BT65" s="603"/>
      <c r="BU65" s="603"/>
      <c r="BV65" s="603"/>
      <c r="BW65" s="603"/>
      <c r="BX65" s="603"/>
      <c r="BY65" s="603"/>
      <c r="BZ65" s="603"/>
      <c r="CA65" s="603"/>
      <c r="CB65" s="603"/>
      <c r="CC65" s="603"/>
      <c r="CD65" s="603"/>
      <c r="CE65" s="603"/>
      <c r="CF65" s="603"/>
      <c r="CG65" s="603"/>
      <c r="CH65" s="603"/>
      <c r="CI65" s="603"/>
      <c r="CJ65" s="603"/>
      <c r="CK65" s="603"/>
      <c r="CL65" s="603"/>
      <c r="CM65" s="603"/>
      <c r="CN65" s="603"/>
      <c r="CO65" s="603"/>
      <c r="CP65" s="603"/>
      <c r="CQ65" s="603"/>
      <c r="CR65" s="603"/>
      <c r="CS65" s="603"/>
      <c r="CT65" s="603"/>
      <c r="CU65" s="603"/>
      <c r="CV65" s="603"/>
      <c r="CW65" s="603"/>
      <c r="CX65" s="603"/>
      <c r="CY65" s="603"/>
      <c r="CZ65" s="603"/>
      <c r="DA65" s="603"/>
      <c r="DB65" s="603"/>
      <c r="DC65" s="603"/>
      <c r="DD65" s="603"/>
      <c r="DE65" s="603"/>
      <c r="DF65" s="603"/>
      <c r="DG65" s="603"/>
      <c r="DH65" s="603"/>
      <c r="DI65" s="603"/>
      <c r="DJ65" s="603"/>
      <c r="DK65" s="603"/>
      <c r="DL65" s="603"/>
      <c r="DM65" s="603"/>
      <c r="DN65" s="603"/>
      <c r="DO65" s="603"/>
      <c r="DP65" s="603"/>
      <c r="DQ65" s="603"/>
      <c r="DR65" s="603"/>
      <c r="DS65" s="603"/>
      <c r="DT65" s="603"/>
      <c r="DU65" s="603"/>
      <c r="DV65" s="603"/>
      <c r="DW65" s="603"/>
      <c r="DX65" s="603"/>
      <c r="DY65" s="603"/>
      <c r="DZ65" s="603"/>
      <c r="EA65" s="603"/>
      <c r="EB65" s="603"/>
      <c r="EC65" s="603"/>
      <c r="ED65" s="603"/>
      <c r="EE65" s="603"/>
      <c r="EF65" s="603"/>
      <c r="EG65" s="603"/>
      <c r="EH65" s="603"/>
      <c r="EI65" s="603"/>
      <c r="EJ65" s="603"/>
      <c r="EK65" s="603"/>
      <c r="EL65" s="603"/>
      <c r="EM65" s="603"/>
      <c r="EN65" s="603"/>
      <c r="EO65" s="603"/>
      <c r="EP65" s="603"/>
      <c r="EQ65" s="603"/>
      <c r="ER65" s="603"/>
      <c r="ES65" s="603"/>
      <c r="ET65" s="603"/>
      <c r="EU65" s="603"/>
      <c r="EV65" s="603"/>
    </row>
    <row r="66" spans="1:152" s="605" customFormat="1" ht="20.100000000000001" customHeight="1">
      <c r="A66" s="687" t="s">
        <v>70</v>
      </c>
      <c r="B66" s="688">
        <f>SUM(B67:B76)</f>
        <v>455392000</v>
      </c>
      <c r="C66" s="689">
        <f t="shared" si="3"/>
        <v>5.223658887476465E-2</v>
      </c>
      <c r="D66" s="688">
        <f>SUM(D67:D76)</f>
        <v>314206000</v>
      </c>
      <c r="E66" s="689">
        <f t="shared" si="4"/>
        <v>5.3938342201861167E-2</v>
      </c>
      <c r="F66" s="688">
        <f>SUM(F67:F76)</f>
        <v>141186000</v>
      </c>
      <c r="G66" s="690">
        <f t="shared" si="14"/>
        <v>0.44934215132747307</v>
      </c>
      <c r="H66" s="669"/>
      <c r="I66" s="669"/>
      <c r="J66" s="669"/>
      <c r="K66" s="669"/>
      <c r="L66" s="603"/>
      <c r="M66" s="603"/>
      <c r="N66" s="603"/>
      <c r="O66" s="603"/>
      <c r="P66" s="603"/>
      <c r="Q66" s="603"/>
      <c r="R66" s="603"/>
      <c r="S66" s="603"/>
      <c r="T66" s="603"/>
      <c r="U66" s="603"/>
      <c r="V66" s="603"/>
      <c r="W66" s="603"/>
      <c r="X66" s="603"/>
      <c r="Y66" s="603"/>
      <c r="Z66" s="603"/>
      <c r="AA66" s="603"/>
      <c r="AB66" s="603"/>
      <c r="AC66" s="603"/>
      <c r="AD66" s="603"/>
      <c r="AE66" s="603"/>
      <c r="AF66" s="603"/>
      <c r="AG66" s="603"/>
      <c r="AH66" s="603"/>
      <c r="AI66" s="603"/>
      <c r="AJ66" s="603"/>
      <c r="AK66" s="603"/>
      <c r="AL66" s="603"/>
      <c r="AM66" s="603"/>
      <c r="AN66" s="603"/>
      <c r="AO66" s="603"/>
      <c r="AP66" s="603"/>
      <c r="AQ66" s="603"/>
      <c r="AR66" s="603"/>
      <c r="AS66" s="603"/>
      <c r="AT66" s="603"/>
      <c r="AU66" s="603"/>
      <c r="AV66" s="603"/>
      <c r="AW66" s="603"/>
      <c r="AX66" s="603"/>
      <c r="AY66" s="603"/>
      <c r="AZ66" s="603"/>
      <c r="BA66" s="603"/>
      <c r="BB66" s="603"/>
      <c r="BC66" s="603"/>
      <c r="BD66" s="603"/>
      <c r="BE66" s="603"/>
      <c r="BF66" s="603"/>
      <c r="BG66" s="603"/>
      <c r="BH66" s="603"/>
      <c r="BI66" s="603"/>
      <c r="BJ66" s="603"/>
      <c r="BK66" s="603"/>
      <c r="BL66" s="603"/>
      <c r="BM66" s="603"/>
      <c r="BN66" s="603"/>
      <c r="BO66" s="603"/>
      <c r="BP66" s="603"/>
      <c r="BQ66" s="603"/>
      <c r="BR66" s="603"/>
      <c r="BS66" s="603"/>
      <c r="BT66" s="603"/>
      <c r="BU66" s="603"/>
      <c r="BV66" s="603"/>
      <c r="BW66" s="603"/>
      <c r="BX66" s="603"/>
      <c r="BY66" s="603"/>
      <c r="BZ66" s="603"/>
      <c r="CA66" s="603"/>
      <c r="CB66" s="603"/>
      <c r="CC66" s="603"/>
      <c r="CD66" s="603"/>
      <c r="CE66" s="603"/>
      <c r="CF66" s="603"/>
      <c r="CG66" s="603"/>
      <c r="CH66" s="603"/>
      <c r="CI66" s="603"/>
      <c r="CJ66" s="603"/>
      <c r="CK66" s="603"/>
      <c r="CL66" s="603"/>
      <c r="CM66" s="603"/>
      <c r="CN66" s="603"/>
      <c r="CO66" s="603"/>
      <c r="CP66" s="603"/>
      <c r="CQ66" s="603"/>
      <c r="CR66" s="603"/>
      <c r="CS66" s="603"/>
      <c r="CT66" s="603"/>
      <c r="CU66" s="603"/>
      <c r="CV66" s="603"/>
      <c r="CW66" s="603"/>
      <c r="CX66" s="603"/>
      <c r="CY66" s="603"/>
      <c r="CZ66" s="603"/>
      <c r="DA66" s="603"/>
      <c r="DB66" s="603"/>
      <c r="DC66" s="603"/>
      <c r="DD66" s="603"/>
      <c r="DE66" s="603"/>
      <c r="DF66" s="603"/>
      <c r="DG66" s="603"/>
      <c r="DH66" s="603"/>
      <c r="DI66" s="603"/>
      <c r="DJ66" s="603"/>
      <c r="DK66" s="603"/>
      <c r="DL66" s="603"/>
      <c r="DM66" s="603"/>
      <c r="DN66" s="603"/>
      <c r="DO66" s="603"/>
      <c r="DP66" s="603"/>
      <c r="DQ66" s="603"/>
      <c r="DR66" s="603"/>
      <c r="DS66" s="603"/>
      <c r="DT66" s="603"/>
      <c r="DU66" s="603"/>
      <c r="DV66" s="603"/>
      <c r="DW66" s="603"/>
      <c r="DX66" s="603"/>
      <c r="DY66" s="603"/>
      <c r="DZ66" s="603"/>
      <c r="EA66" s="603"/>
      <c r="EB66" s="603"/>
      <c r="EC66" s="603"/>
      <c r="ED66" s="603"/>
      <c r="EE66" s="603"/>
      <c r="EF66" s="603"/>
      <c r="EG66" s="603"/>
      <c r="EH66" s="603"/>
      <c r="EI66" s="603"/>
      <c r="EJ66" s="603"/>
      <c r="EK66" s="603"/>
      <c r="EL66" s="603"/>
      <c r="EM66" s="603"/>
      <c r="EN66" s="603"/>
      <c r="EO66" s="603"/>
      <c r="EP66" s="603"/>
      <c r="EQ66" s="603"/>
      <c r="ER66" s="603"/>
      <c r="ES66" s="603"/>
      <c r="ET66" s="603"/>
      <c r="EU66" s="603"/>
      <c r="EV66" s="603"/>
    </row>
    <row r="67" spans="1:152" s="605" customFormat="1" ht="20.100000000000001" customHeight="1">
      <c r="A67" s="684" t="s">
        <v>22</v>
      </c>
      <c r="B67" s="685">
        <f>'예산세출(마두)'!W178</f>
        <v>82237000</v>
      </c>
      <c r="C67" s="686">
        <f t="shared" si="3"/>
        <v>9.4331484946903344E-3</v>
      </c>
      <c r="D67" s="685">
        <f>'예산세출(마두)'!X178</f>
        <v>70995000</v>
      </c>
      <c r="E67" s="676">
        <f t="shared" si="4"/>
        <v>1.2187394908503126E-2</v>
      </c>
      <c r="F67" s="685">
        <f t="shared" ref="F67:F76" si="15">+B67-D67</f>
        <v>11242000</v>
      </c>
      <c r="G67" s="640">
        <f t="shared" si="14"/>
        <v>0.1583491795196845</v>
      </c>
      <c r="H67" s="670"/>
      <c r="I67" s="670"/>
      <c r="J67" s="670"/>
      <c r="K67" s="670"/>
      <c r="L67" s="603"/>
      <c r="M67" s="603"/>
      <c r="N67" s="603"/>
      <c r="O67" s="603"/>
      <c r="P67" s="603"/>
      <c r="Q67" s="603"/>
      <c r="R67" s="603"/>
      <c r="S67" s="603"/>
      <c r="T67" s="603"/>
      <c r="U67" s="603"/>
      <c r="V67" s="603"/>
      <c r="W67" s="603"/>
      <c r="X67" s="603"/>
      <c r="Y67" s="603"/>
      <c r="Z67" s="603"/>
      <c r="AA67" s="603"/>
      <c r="AB67" s="603"/>
      <c r="AC67" s="603"/>
      <c r="AD67" s="603"/>
      <c r="AE67" s="603"/>
      <c r="AF67" s="603"/>
      <c r="AG67" s="603"/>
      <c r="AH67" s="603"/>
      <c r="AI67" s="603"/>
      <c r="AJ67" s="603"/>
      <c r="AK67" s="603"/>
      <c r="AL67" s="603"/>
      <c r="AM67" s="603"/>
      <c r="AN67" s="603"/>
      <c r="AO67" s="603"/>
      <c r="AP67" s="603"/>
      <c r="AQ67" s="603"/>
      <c r="AR67" s="603"/>
      <c r="AS67" s="603"/>
      <c r="AT67" s="603"/>
      <c r="AU67" s="603"/>
      <c r="AV67" s="603"/>
      <c r="AW67" s="603"/>
      <c r="AX67" s="603"/>
      <c r="AY67" s="603"/>
      <c r="AZ67" s="603"/>
      <c r="BA67" s="603"/>
      <c r="BB67" s="603"/>
      <c r="BC67" s="603"/>
      <c r="BD67" s="603"/>
      <c r="BE67" s="603"/>
      <c r="BF67" s="603"/>
      <c r="BG67" s="603"/>
      <c r="BH67" s="603"/>
      <c r="BI67" s="603"/>
      <c r="BJ67" s="603"/>
      <c r="BK67" s="603"/>
      <c r="BL67" s="603"/>
      <c r="BM67" s="603"/>
      <c r="BN67" s="603"/>
      <c r="BO67" s="603"/>
      <c r="BP67" s="603"/>
      <c r="BQ67" s="603"/>
      <c r="BR67" s="603"/>
      <c r="BS67" s="603"/>
      <c r="BT67" s="603"/>
      <c r="BU67" s="603"/>
      <c r="BV67" s="603"/>
      <c r="BW67" s="603"/>
      <c r="BX67" s="603"/>
      <c r="BY67" s="603"/>
      <c r="BZ67" s="603"/>
      <c r="CA67" s="603"/>
      <c r="CB67" s="603"/>
      <c r="CC67" s="603"/>
      <c r="CD67" s="603"/>
      <c r="CE67" s="603"/>
      <c r="CF67" s="603"/>
      <c r="CG67" s="603"/>
      <c r="CH67" s="603"/>
      <c r="CI67" s="603"/>
      <c r="CJ67" s="603"/>
      <c r="CK67" s="603"/>
      <c r="CL67" s="603"/>
      <c r="CM67" s="603"/>
      <c r="CN67" s="603"/>
      <c r="CO67" s="603"/>
      <c r="CP67" s="603"/>
      <c r="CQ67" s="603"/>
      <c r="CR67" s="603"/>
      <c r="CS67" s="603"/>
      <c r="CT67" s="603"/>
      <c r="CU67" s="603"/>
      <c r="CV67" s="603"/>
      <c r="CW67" s="603"/>
      <c r="CX67" s="603"/>
      <c r="CY67" s="603"/>
      <c r="CZ67" s="603"/>
      <c r="DA67" s="603"/>
      <c r="DB67" s="603"/>
      <c r="DC67" s="603"/>
      <c r="DD67" s="603"/>
      <c r="DE67" s="603"/>
      <c r="DF67" s="603"/>
      <c r="DG67" s="603"/>
      <c r="DH67" s="603"/>
      <c r="DI67" s="603"/>
      <c r="DJ67" s="603"/>
      <c r="DK67" s="603"/>
      <c r="DL67" s="603"/>
      <c r="DM67" s="603"/>
      <c r="DN67" s="603"/>
      <c r="DO67" s="603"/>
      <c r="DP67" s="603"/>
      <c r="DQ67" s="603"/>
      <c r="DR67" s="603"/>
      <c r="DS67" s="603"/>
      <c r="DT67" s="603"/>
      <c r="DU67" s="603"/>
      <c r="DV67" s="603"/>
      <c r="DW67" s="603"/>
      <c r="DX67" s="603"/>
      <c r="DY67" s="603"/>
      <c r="DZ67" s="603"/>
      <c r="EA67" s="603"/>
      <c r="EB67" s="603"/>
      <c r="EC67" s="603"/>
      <c r="ED67" s="603"/>
      <c r="EE67" s="603"/>
      <c r="EF67" s="603"/>
      <c r="EG67" s="603"/>
      <c r="EH67" s="603"/>
      <c r="EI67" s="603"/>
      <c r="EJ67" s="603"/>
      <c r="EK67" s="603"/>
      <c r="EL67" s="603"/>
      <c r="EM67" s="603"/>
      <c r="EN67" s="603"/>
      <c r="EO67" s="603"/>
      <c r="EP67" s="603"/>
      <c r="EQ67" s="603"/>
      <c r="ER67" s="603"/>
      <c r="ES67" s="603"/>
      <c r="ET67" s="603"/>
      <c r="EU67" s="603"/>
      <c r="EV67" s="603"/>
    </row>
    <row r="68" spans="1:152" s="605" customFormat="1" ht="20.100000000000001" customHeight="1">
      <c r="A68" s="684" t="s">
        <v>71</v>
      </c>
      <c r="B68" s="685">
        <f>'예산세출(성사)'!X185</f>
        <v>16790000</v>
      </c>
      <c r="C68" s="686">
        <f t="shared" si="3"/>
        <v>1.9259282710440643E-3</v>
      </c>
      <c r="D68" s="685">
        <f>'예산세출(성사)'!Y185</f>
        <v>11721000</v>
      </c>
      <c r="E68" s="686">
        <f t="shared" si="4"/>
        <v>2.0120917772035373E-3</v>
      </c>
      <c r="F68" s="685">
        <f>+B68-D68</f>
        <v>5069000</v>
      </c>
      <c r="G68" s="640">
        <f>+F68/D68</f>
        <v>0.43247163211330092</v>
      </c>
      <c r="H68" s="670"/>
      <c r="I68" s="670"/>
      <c r="J68" s="670"/>
      <c r="K68" s="670"/>
      <c r="L68" s="603"/>
      <c r="M68" s="603"/>
      <c r="N68" s="603"/>
      <c r="O68" s="603"/>
      <c r="P68" s="603"/>
      <c r="Q68" s="603"/>
      <c r="R68" s="603"/>
      <c r="S68" s="603"/>
      <c r="T68" s="603"/>
      <c r="U68" s="603"/>
      <c r="V68" s="603"/>
      <c r="W68" s="603"/>
      <c r="X68" s="603"/>
      <c r="Y68" s="603"/>
      <c r="Z68" s="603"/>
      <c r="AA68" s="603"/>
      <c r="AB68" s="603"/>
      <c r="AC68" s="603"/>
      <c r="AD68" s="603"/>
      <c r="AE68" s="603"/>
      <c r="AF68" s="603"/>
      <c r="AG68" s="603"/>
      <c r="AH68" s="603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3"/>
      <c r="AT68" s="603"/>
      <c r="AU68" s="603"/>
      <c r="AV68" s="603"/>
      <c r="AW68" s="603"/>
      <c r="AX68" s="603"/>
      <c r="AY68" s="603"/>
      <c r="AZ68" s="603"/>
      <c r="BA68" s="603"/>
      <c r="BB68" s="603"/>
      <c r="BC68" s="603"/>
      <c r="BD68" s="603"/>
      <c r="BE68" s="603"/>
      <c r="BF68" s="603"/>
      <c r="BG68" s="603"/>
      <c r="BH68" s="603"/>
      <c r="BI68" s="603"/>
      <c r="BJ68" s="603"/>
      <c r="BK68" s="603"/>
      <c r="BL68" s="603"/>
      <c r="BM68" s="603"/>
      <c r="BN68" s="603"/>
      <c r="BO68" s="603"/>
      <c r="BP68" s="603"/>
      <c r="BQ68" s="603"/>
      <c r="BR68" s="603"/>
      <c r="BS68" s="603"/>
      <c r="BT68" s="603"/>
      <c r="BU68" s="603"/>
      <c r="BV68" s="603"/>
      <c r="BW68" s="603"/>
      <c r="BX68" s="603"/>
      <c r="BY68" s="603"/>
      <c r="BZ68" s="603"/>
      <c r="CA68" s="603"/>
      <c r="CB68" s="603"/>
      <c r="CC68" s="603"/>
      <c r="CD68" s="603"/>
      <c r="CE68" s="603"/>
      <c r="CF68" s="603"/>
      <c r="CG68" s="603"/>
      <c r="CH68" s="603"/>
      <c r="CI68" s="603"/>
      <c r="CJ68" s="603"/>
      <c r="CK68" s="603"/>
      <c r="CL68" s="603"/>
      <c r="CM68" s="603"/>
      <c r="CN68" s="603"/>
      <c r="CO68" s="603"/>
      <c r="CP68" s="603"/>
      <c r="CQ68" s="603"/>
      <c r="CR68" s="603"/>
      <c r="CS68" s="603"/>
      <c r="CT68" s="603"/>
      <c r="CU68" s="603"/>
      <c r="CV68" s="603"/>
      <c r="CW68" s="603"/>
      <c r="CX68" s="603"/>
      <c r="CY68" s="603"/>
      <c r="CZ68" s="603"/>
      <c r="DA68" s="603"/>
      <c r="DB68" s="603"/>
      <c r="DC68" s="603"/>
      <c r="DD68" s="603"/>
      <c r="DE68" s="603"/>
      <c r="DF68" s="603"/>
      <c r="DG68" s="603"/>
      <c r="DH68" s="603"/>
      <c r="DI68" s="603"/>
      <c r="DJ68" s="603"/>
      <c r="DK68" s="603"/>
      <c r="DL68" s="603"/>
      <c r="DM68" s="603"/>
      <c r="DN68" s="603"/>
      <c r="DO68" s="603"/>
      <c r="DP68" s="603"/>
      <c r="DQ68" s="603"/>
      <c r="DR68" s="603"/>
      <c r="DS68" s="603"/>
      <c r="DT68" s="603"/>
      <c r="DU68" s="603"/>
      <c r="DV68" s="603"/>
      <c r="DW68" s="603"/>
      <c r="DX68" s="603"/>
      <c r="DY68" s="603"/>
      <c r="DZ68" s="603"/>
      <c r="EA68" s="603"/>
      <c r="EB68" s="603"/>
      <c r="EC68" s="603"/>
      <c r="ED68" s="603"/>
      <c r="EE68" s="603"/>
      <c r="EF68" s="603"/>
      <c r="EG68" s="603"/>
      <c r="EH68" s="603"/>
      <c r="EI68" s="603"/>
      <c r="EJ68" s="603"/>
      <c r="EK68" s="603"/>
      <c r="EL68" s="603"/>
      <c r="EM68" s="603"/>
      <c r="EN68" s="603"/>
      <c r="EO68" s="603"/>
      <c r="EP68" s="603"/>
      <c r="EQ68" s="603"/>
      <c r="ER68" s="603"/>
      <c r="ES68" s="603"/>
      <c r="ET68" s="603"/>
      <c r="EU68" s="603"/>
      <c r="EV68" s="603"/>
    </row>
    <row r="69" spans="1:152" s="605" customFormat="1" ht="20.100000000000001" customHeight="1">
      <c r="A69" s="635" t="s">
        <v>25</v>
      </c>
      <c r="B69" s="675">
        <f>'예산세출(탄현)'!W169</f>
        <v>40250000</v>
      </c>
      <c r="C69" s="676">
        <f t="shared" si="3"/>
        <v>4.6169513346946741E-3</v>
      </c>
      <c r="D69" s="675">
        <f>'예산세출(탄현)'!X169</f>
        <v>34314000</v>
      </c>
      <c r="E69" s="676">
        <f t="shared" si="4"/>
        <v>5.8905312893918768E-3</v>
      </c>
      <c r="F69" s="675">
        <f t="shared" si="15"/>
        <v>5936000</v>
      </c>
      <c r="G69" s="678">
        <f t="shared" si="14"/>
        <v>0.17299061607507141</v>
      </c>
      <c r="H69" s="670"/>
      <c r="I69" s="670"/>
      <c r="J69" s="670"/>
      <c r="K69" s="670"/>
      <c r="L69" s="603"/>
      <c r="M69" s="603"/>
      <c r="N69" s="603"/>
      <c r="O69" s="603"/>
      <c r="P69" s="603"/>
      <c r="Q69" s="603"/>
      <c r="R69" s="603"/>
      <c r="S69" s="603"/>
      <c r="T69" s="603"/>
      <c r="U69" s="603"/>
      <c r="V69" s="603"/>
      <c r="W69" s="603"/>
      <c r="X69" s="603"/>
      <c r="Y69" s="603"/>
      <c r="Z69" s="603"/>
      <c r="AA69" s="603"/>
      <c r="AB69" s="603"/>
      <c r="AC69" s="603"/>
      <c r="AD69" s="603"/>
      <c r="AE69" s="603"/>
      <c r="AF69" s="603"/>
      <c r="AG69" s="603"/>
      <c r="AH69" s="603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3"/>
      <c r="AT69" s="603"/>
      <c r="AU69" s="603"/>
      <c r="AV69" s="603"/>
      <c r="AW69" s="603"/>
      <c r="AX69" s="603"/>
      <c r="AY69" s="603"/>
      <c r="AZ69" s="603"/>
      <c r="BA69" s="603"/>
      <c r="BB69" s="603"/>
      <c r="BC69" s="603"/>
      <c r="BD69" s="603"/>
      <c r="BE69" s="603"/>
      <c r="BF69" s="603"/>
      <c r="BG69" s="603"/>
      <c r="BH69" s="603"/>
      <c r="BI69" s="603"/>
      <c r="BJ69" s="603"/>
      <c r="BK69" s="603"/>
      <c r="BL69" s="603"/>
      <c r="BM69" s="603"/>
      <c r="BN69" s="603"/>
      <c r="BO69" s="603"/>
      <c r="BP69" s="603"/>
      <c r="BQ69" s="603"/>
      <c r="BR69" s="603"/>
      <c r="BS69" s="603"/>
      <c r="BT69" s="603"/>
      <c r="BU69" s="603"/>
      <c r="BV69" s="603"/>
      <c r="BW69" s="603"/>
      <c r="BX69" s="603"/>
      <c r="BY69" s="603"/>
      <c r="BZ69" s="603"/>
      <c r="CA69" s="603"/>
      <c r="CB69" s="603"/>
      <c r="CC69" s="603"/>
      <c r="CD69" s="603"/>
      <c r="CE69" s="603"/>
      <c r="CF69" s="603"/>
      <c r="CG69" s="603"/>
      <c r="CH69" s="603"/>
      <c r="CI69" s="603"/>
      <c r="CJ69" s="603"/>
      <c r="CK69" s="603"/>
      <c r="CL69" s="603"/>
      <c r="CM69" s="603"/>
      <c r="CN69" s="603"/>
      <c r="CO69" s="603"/>
      <c r="CP69" s="603"/>
      <c r="CQ69" s="603"/>
      <c r="CR69" s="603"/>
      <c r="CS69" s="603"/>
      <c r="CT69" s="603"/>
      <c r="CU69" s="603"/>
      <c r="CV69" s="603"/>
      <c r="CW69" s="603"/>
      <c r="CX69" s="603"/>
      <c r="CY69" s="603"/>
      <c r="CZ69" s="603"/>
      <c r="DA69" s="603"/>
      <c r="DB69" s="603"/>
      <c r="DC69" s="603"/>
      <c r="DD69" s="603"/>
      <c r="DE69" s="603"/>
      <c r="DF69" s="603"/>
      <c r="DG69" s="603"/>
      <c r="DH69" s="603"/>
      <c r="DI69" s="603"/>
      <c r="DJ69" s="603"/>
      <c r="DK69" s="603"/>
      <c r="DL69" s="603"/>
      <c r="DM69" s="603"/>
      <c r="DN69" s="603"/>
      <c r="DO69" s="603"/>
      <c r="DP69" s="603"/>
      <c r="DQ69" s="603"/>
      <c r="DR69" s="603"/>
      <c r="DS69" s="603"/>
      <c r="DT69" s="603"/>
      <c r="DU69" s="603"/>
      <c r="DV69" s="603"/>
      <c r="DW69" s="603"/>
      <c r="DX69" s="603"/>
      <c r="DY69" s="603"/>
      <c r="DZ69" s="603"/>
      <c r="EA69" s="603"/>
      <c r="EB69" s="603"/>
      <c r="EC69" s="603"/>
      <c r="ED69" s="603"/>
      <c r="EE69" s="603"/>
      <c r="EF69" s="603"/>
      <c r="EG69" s="603"/>
      <c r="EH69" s="603"/>
      <c r="EI69" s="603"/>
      <c r="EJ69" s="603"/>
      <c r="EK69" s="603"/>
      <c r="EL69" s="603"/>
      <c r="EM69" s="603"/>
      <c r="EN69" s="603"/>
      <c r="EO69" s="603"/>
      <c r="EP69" s="603"/>
      <c r="EQ69" s="603"/>
      <c r="ER69" s="603"/>
      <c r="ES69" s="603"/>
      <c r="ET69" s="603"/>
      <c r="EU69" s="603"/>
      <c r="EV69" s="603"/>
    </row>
    <row r="70" spans="1:152" s="605" customFormat="1" ht="20.100000000000001" customHeight="1">
      <c r="A70" s="684" t="s">
        <v>2132</v>
      </c>
      <c r="B70" s="685">
        <f>'예산세출(주교)'!Q101</f>
        <v>1480000</v>
      </c>
      <c r="C70" s="686">
        <f t="shared" si="3"/>
        <v>1.6976616087821411E-4</v>
      </c>
      <c r="D70" s="685">
        <f>'예산세출(주교)'!R101</f>
        <v>1400000</v>
      </c>
      <c r="E70" s="676">
        <f t="shared" si="4"/>
        <v>2.4033175395315695E-4</v>
      </c>
      <c r="F70" s="685">
        <f t="shared" si="15"/>
        <v>80000</v>
      </c>
      <c r="G70" s="640">
        <f t="shared" si="14"/>
        <v>5.7142857142857141E-2</v>
      </c>
      <c r="H70" s="670"/>
      <c r="I70" s="670"/>
      <c r="J70" s="670"/>
      <c r="K70" s="670"/>
      <c r="L70" s="603"/>
      <c r="M70" s="603"/>
      <c r="N70" s="603"/>
      <c r="O70" s="603"/>
      <c r="P70" s="603"/>
      <c r="Q70" s="603"/>
      <c r="R70" s="603"/>
      <c r="S70" s="603"/>
      <c r="T70" s="603"/>
      <c r="U70" s="603"/>
      <c r="V70" s="603"/>
      <c r="W70" s="603"/>
      <c r="X70" s="603"/>
      <c r="Y70" s="603"/>
      <c r="Z70" s="603"/>
      <c r="AA70" s="603"/>
      <c r="AB70" s="603"/>
      <c r="AC70" s="603"/>
      <c r="AD70" s="603"/>
      <c r="AE70" s="603"/>
      <c r="AF70" s="603"/>
      <c r="AG70" s="603"/>
      <c r="AH70" s="603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3"/>
      <c r="AT70" s="603"/>
      <c r="AU70" s="603"/>
      <c r="AV70" s="603"/>
      <c r="AW70" s="603"/>
      <c r="AX70" s="603"/>
      <c r="AY70" s="603"/>
      <c r="AZ70" s="603"/>
      <c r="BA70" s="603"/>
      <c r="BB70" s="603"/>
      <c r="BC70" s="603"/>
      <c r="BD70" s="603"/>
      <c r="BE70" s="603"/>
      <c r="BF70" s="603"/>
      <c r="BG70" s="603"/>
      <c r="BH70" s="603"/>
      <c r="BI70" s="603"/>
      <c r="BJ70" s="603"/>
      <c r="BK70" s="603"/>
      <c r="BL70" s="603"/>
      <c r="BM70" s="603"/>
      <c r="BN70" s="603"/>
      <c r="BO70" s="603"/>
      <c r="BP70" s="603"/>
      <c r="BQ70" s="603"/>
      <c r="BR70" s="603"/>
      <c r="BS70" s="603"/>
      <c r="BT70" s="603"/>
      <c r="BU70" s="603"/>
      <c r="BV70" s="603"/>
      <c r="BW70" s="603"/>
      <c r="BX70" s="603"/>
      <c r="BY70" s="603"/>
      <c r="BZ70" s="603"/>
      <c r="CA70" s="603"/>
      <c r="CB70" s="603"/>
      <c r="CC70" s="603"/>
      <c r="CD70" s="603"/>
      <c r="CE70" s="603"/>
      <c r="CF70" s="603"/>
      <c r="CG70" s="603"/>
      <c r="CH70" s="603"/>
      <c r="CI70" s="603"/>
      <c r="CJ70" s="603"/>
      <c r="CK70" s="603"/>
      <c r="CL70" s="603"/>
      <c r="CM70" s="603"/>
      <c r="CN70" s="603"/>
      <c r="CO70" s="603"/>
      <c r="CP70" s="603"/>
      <c r="CQ70" s="603"/>
      <c r="CR70" s="603"/>
      <c r="CS70" s="603"/>
      <c r="CT70" s="603"/>
      <c r="CU70" s="603"/>
      <c r="CV70" s="603"/>
      <c r="CW70" s="603"/>
      <c r="CX70" s="603"/>
      <c r="CY70" s="603"/>
      <c r="CZ70" s="603"/>
      <c r="DA70" s="603"/>
      <c r="DB70" s="603"/>
      <c r="DC70" s="603"/>
      <c r="DD70" s="603"/>
      <c r="DE70" s="603"/>
      <c r="DF70" s="603"/>
      <c r="DG70" s="603"/>
      <c r="DH70" s="603"/>
      <c r="DI70" s="603"/>
      <c r="DJ70" s="603"/>
      <c r="DK70" s="603"/>
      <c r="DL70" s="603"/>
      <c r="DM70" s="603"/>
      <c r="DN70" s="603"/>
      <c r="DO70" s="603"/>
      <c r="DP70" s="603"/>
      <c r="DQ70" s="603"/>
      <c r="DR70" s="603"/>
      <c r="DS70" s="603"/>
      <c r="DT70" s="603"/>
      <c r="DU70" s="603"/>
      <c r="DV70" s="603"/>
      <c r="DW70" s="603"/>
      <c r="DX70" s="603"/>
      <c r="DY70" s="603"/>
      <c r="DZ70" s="603"/>
      <c r="EA70" s="603"/>
      <c r="EB70" s="603"/>
      <c r="EC70" s="603"/>
      <c r="ED70" s="603"/>
      <c r="EE70" s="603"/>
      <c r="EF70" s="603"/>
      <c r="EG70" s="603"/>
      <c r="EH70" s="603"/>
      <c r="EI70" s="603"/>
      <c r="EJ70" s="603"/>
      <c r="EK70" s="603"/>
      <c r="EL70" s="603"/>
      <c r="EM70" s="603"/>
      <c r="EN70" s="603"/>
      <c r="EO70" s="603"/>
      <c r="EP70" s="603"/>
      <c r="EQ70" s="603"/>
      <c r="ER70" s="603"/>
      <c r="ES70" s="603"/>
      <c r="ET70" s="603"/>
      <c r="EU70" s="603"/>
      <c r="EV70" s="603"/>
    </row>
    <row r="71" spans="1:152" s="605" customFormat="1" ht="20.100000000000001" customHeight="1">
      <c r="A71" s="635" t="s">
        <v>2131</v>
      </c>
      <c r="B71" s="685">
        <f>'예산세출(일산서구)'!W183</f>
        <v>94377000</v>
      </c>
      <c r="C71" s="686">
        <f t="shared" ref="C71" si="16">+B71/$B$7</f>
        <v>1.0825689841353523E-2</v>
      </c>
      <c r="D71" s="685">
        <f>'예산세출(일산서구)'!X183</f>
        <v>0</v>
      </c>
      <c r="E71" s="676">
        <f t="shared" ref="E71" si="17">+D71/$D$7</f>
        <v>0</v>
      </c>
      <c r="F71" s="685">
        <f t="shared" ref="F71" si="18">+B71-D71</f>
        <v>94377000</v>
      </c>
      <c r="G71" s="640">
        <v>1</v>
      </c>
      <c r="H71" s="670"/>
      <c r="I71" s="670"/>
      <c r="J71" s="670"/>
      <c r="K71" s="670"/>
      <c r="L71" s="603"/>
      <c r="M71" s="603"/>
      <c r="N71" s="603"/>
      <c r="O71" s="603"/>
      <c r="P71" s="603"/>
      <c r="Q71" s="603"/>
      <c r="R71" s="603"/>
      <c r="S71" s="603"/>
      <c r="T71" s="603"/>
      <c r="U71" s="603"/>
      <c r="V71" s="603"/>
      <c r="W71" s="603"/>
      <c r="X71" s="603"/>
      <c r="Y71" s="603"/>
      <c r="Z71" s="603"/>
      <c r="AA71" s="603"/>
      <c r="AB71" s="603"/>
      <c r="AC71" s="603"/>
      <c r="AD71" s="603"/>
      <c r="AE71" s="603"/>
      <c r="AF71" s="603"/>
      <c r="AG71" s="603"/>
      <c r="AH71" s="603"/>
      <c r="AI71" s="603"/>
      <c r="AJ71" s="603"/>
      <c r="AK71" s="603"/>
      <c r="AL71" s="603"/>
      <c r="AM71" s="603"/>
      <c r="AN71" s="603"/>
      <c r="AO71" s="603"/>
      <c r="AP71" s="603"/>
      <c r="AQ71" s="603"/>
      <c r="AR71" s="603"/>
      <c r="AS71" s="603"/>
      <c r="AT71" s="603"/>
      <c r="AU71" s="603"/>
      <c r="AV71" s="603"/>
      <c r="AW71" s="603"/>
      <c r="AX71" s="603"/>
      <c r="AY71" s="603"/>
      <c r="AZ71" s="603"/>
      <c r="BA71" s="603"/>
      <c r="BB71" s="603"/>
      <c r="BC71" s="603"/>
      <c r="BD71" s="603"/>
      <c r="BE71" s="603"/>
      <c r="BF71" s="603"/>
      <c r="BG71" s="603"/>
      <c r="BH71" s="603"/>
      <c r="BI71" s="603"/>
      <c r="BJ71" s="603"/>
      <c r="BK71" s="603"/>
      <c r="BL71" s="603"/>
      <c r="BM71" s="603"/>
      <c r="BN71" s="603"/>
      <c r="BO71" s="603"/>
      <c r="BP71" s="603"/>
      <c r="BQ71" s="603"/>
      <c r="BR71" s="603"/>
      <c r="BS71" s="603"/>
      <c r="BT71" s="603"/>
      <c r="BU71" s="603"/>
      <c r="BV71" s="603"/>
      <c r="BW71" s="603"/>
      <c r="BX71" s="603"/>
      <c r="BY71" s="603"/>
      <c r="BZ71" s="603"/>
      <c r="CA71" s="603"/>
      <c r="CB71" s="603"/>
      <c r="CC71" s="603"/>
      <c r="CD71" s="603"/>
      <c r="CE71" s="603"/>
      <c r="CF71" s="603"/>
      <c r="CG71" s="603"/>
      <c r="CH71" s="603"/>
      <c r="CI71" s="603"/>
      <c r="CJ71" s="603"/>
      <c r="CK71" s="603"/>
      <c r="CL71" s="603"/>
      <c r="CM71" s="603"/>
      <c r="CN71" s="603"/>
      <c r="CO71" s="603"/>
      <c r="CP71" s="603"/>
      <c r="CQ71" s="603"/>
      <c r="CR71" s="603"/>
      <c r="CS71" s="603"/>
      <c r="CT71" s="603"/>
      <c r="CU71" s="603"/>
      <c r="CV71" s="603"/>
      <c r="CW71" s="603"/>
      <c r="CX71" s="603"/>
      <c r="CY71" s="603"/>
      <c r="CZ71" s="603"/>
      <c r="DA71" s="603"/>
      <c r="DB71" s="603"/>
      <c r="DC71" s="603"/>
      <c r="DD71" s="603"/>
      <c r="DE71" s="603"/>
      <c r="DF71" s="603"/>
      <c r="DG71" s="603"/>
      <c r="DH71" s="603"/>
      <c r="DI71" s="603"/>
      <c r="DJ71" s="603"/>
      <c r="DK71" s="603"/>
      <c r="DL71" s="603"/>
      <c r="DM71" s="603"/>
      <c r="DN71" s="603"/>
      <c r="DO71" s="603"/>
      <c r="DP71" s="603"/>
      <c r="DQ71" s="603"/>
      <c r="DR71" s="603"/>
      <c r="DS71" s="603"/>
      <c r="DT71" s="603"/>
      <c r="DU71" s="603"/>
      <c r="DV71" s="603"/>
      <c r="DW71" s="603"/>
      <c r="DX71" s="603"/>
      <c r="DY71" s="603"/>
      <c r="DZ71" s="603"/>
      <c r="EA71" s="603"/>
      <c r="EB71" s="603"/>
      <c r="EC71" s="603"/>
      <c r="ED71" s="603"/>
      <c r="EE71" s="603"/>
      <c r="EF71" s="603"/>
      <c r="EG71" s="603"/>
      <c r="EH71" s="603"/>
      <c r="EI71" s="603"/>
      <c r="EJ71" s="603"/>
      <c r="EK71" s="603"/>
      <c r="EL71" s="603"/>
      <c r="EM71" s="603"/>
      <c r="EN71" s="603"/>
      <c r="EO71" s="603"/>
      <c r="EP71" s="603"/>
      <c r="EQ71" s="603"/>
      <c r="ER71" s="603"/>
      <c r="ES71" s="603"/>
      <c r="ET71" s="603"/>
      <c r="EU71" s="603"/>
      <c r="EV71" s="603"/>
    </row>
    <row r="72" spans="1:152" s="605" customFormat="1" ht="20.100000000000001" customHeight="1">
      <c r="A72" s="684" t="s">
        <v>26</v>
      </c>
      <c r="B72" s="685">
        <f>'예산세출(토당)'!O95</f>
        <v>187530000</v>
      </c>
      <c r="C72" s="686">
        <f t="shared" si="3"/>
        <v>2.1510978479386145E-2</v>
      </c>
      <c r="D72" s="685">
        <f>'예산세출(토당)'!P95</f>
        <v>155256000</v>
      </c>
      <c r="E72" s="676">
        <f t="shared" si="4"/>
        <v>2.6652104851250951E-2</v>
      </c>
      <c r="F72" s="685">
        <f t="shared" si="15"/>
        <v>32274000</v>
      </c>
      <c r="G72" s="640">
        <f t="shared" si="14"/>
        <v>0.20787602411501005</v>
      </c>
      <c r="H72" s="670"/>
      <c r="I72" s="670"/>
      <c r="J72" s="670"/>
      <c r="K72" s="670"/>
      <c r="L72" s="603"/>
      <c r="M72" s="603"/>
      <c r="N72" s="603"/>
      <c r="O72" s="603"/>
      <c r="P72" s="603"/>
      <c r="Q72" s="603"/>
      <c r="R72" s="603"/>
      <c r="S72" s="603"/>
      <c r="T72" s="603"/>
      <c r="U72" s="603"/>
      <c r="V72" s="603"/>
      <c r="W72" s="603"/>
      <c r="X72" s="603"/>
      <c r="Y72" s="603"/>
      <c r="Z72" s="603"/>
      <c r="AA72" s="603"/>
      <c r="AB72" s="603"/>
      <c r="AC72" s="603"/>
      <c r="AD72" s="603"/>
      <c r="AE72" s="603"/>
      <c r="AF72" s="603"/>
      <c r="AG72" s="603"/>
      <c r="AH72" s="603"/>
      <c r="AI72" s="603"/>
      <c r="AJ72" s="603"/>
      <c r="AK72" s="603"/>
      <c r="AL72" s="603"/>
      <c r="AM72" s="603"/>
      <c r="AN72" s="603"/>
      <c r="AO72" s="603"/>
      <c r="AP72" s="603"/>
      <c r="AQ72" s="603"/>
      <c r="AR72" s="603"/>
      <c r="AS72" s="603"/>
      <c r="AT72" s="603"/>
      <c r="AU72" s="603"/>
      <c r="AV72" s="603"/>
      <c r="AW72" s="603"/>
      <c r="AX72" s="603"/>
      <c r="AY72" s="603"/>
      <c r="AZ72" s="603"/>
      <c r="BA72" s="603"/>
      <c r="BB72" s="603"/>
      <c r="BC72" s="603"/>
      <c r="BD72" s="603"/>
      <c r="BE72" s="603"/>
      <c r="BF72" s="603"/>
      <c r="BG72" s="603"/>
      <c r="BH72" s="603"/>
      <c r="BI72" s="603"/>
      <c r="BJ72" s="603"/>
      <c r="BK72" s="603"/>
      <c r="BL72" s="603"/>
      <c r="BM72" s="603"/>
      <c r="BN72" s="603"/>
      <c r="BO72" s="603"/>
      <c r="BP72" s="603"/>
      <c r="BQ72" s="603"/>
      <c r="BR72" s="603"/>
      <c r="BS72" s="603"/>
      <c r="BT72" s="603"/>
      <c r="BU72" s="603"/>
      <c r="BV72" s="603"/>
      <c r="BW72" s="603"/>
      <c r="BX72" s="603"/>
      <c r="BY72" s="603"/>
      <c r="BZ72" s="603"/>
      <c r="CA72" s="603"/>
      <c r="CB72" s="603"/>
      <c r="CC72" s="603"/>
      <c r="CD72" s="603"/>
      <c r="CE72" s="603"/>
      <c r="CF72" s="603"/>
      <c r="CG72" s="603"/>
      <c r="CH72" s="603"/>
      <c r="CI72" s="603"/>
      <c r="CJ72" s="603"/>
      <c r="CK72" s="603"/>
      <c r="CL72" s="603"/>
      <c r="CM72" s="603"/>
      <c r="CN72" s="603"/>
      <c r="CO72" s="603"/>
      <c r="CP72" s="603"/>
      <c r="CQ72" s="603"/>
      <c r="CR72" s="603"/>
      <c r="CS72" s="603"/>
      <c r="CT72" s="603"/>
      <c r="CU72" s="603"/>
      <c r="CV72" s="603"/>
      <c r="CW72" s="603"/>
      <c r="CX72" s="603"/>
      <c r="CY72" s="603"/>
      <c r="CZ72" s="603"/>
      <c r="DA72" s="603"/>
      <c r="DB72" s="603"/>
      <c r="DC72" s="603"/>
      <c r="DD72" s="603"/>
      <c r="DE72" s="603"/>
      <c r="DF72" s="603"/>
      <c r="DG72" s="603"/>
      <c r="DH72" s="603"/>
      <c r="DI72" s="603"/>
      <c r="DJ72" s="603"/>
      <c r="DK72" s="603"/>
      <c r="DL72" s="603"/>
      <c r="DM72" s="603"/>
      <c r="DN72" s="603"/>
      <c r="DO72" s="603"/>
      <c r="DP72" s="603"/>
      <c r="DQ72" s="603"/>
      <c r="DR72" s="603"/>
      <c r="DS72" s="603"/>
      <c r="DT72" s="603"/>
      <c r="DU72" s="603"/>
      <c r="DV72" s="603"/>
      <c r="DW72" s="603"/>
      <c r="DX72" s="603"/>
      <c r="DY72" s="603"/>
      <c r="DZ72" s="603"/>
      <c r="EA72" s="603"/>
      <c r="EB72" s="603"/>
      <c r="EC72" s="603"/>
      <c r="ED72" s="603"/>
      <c r="EE72" s="603"/>
      <c r="EF72" s="603"/>
      <c r="EG72" s="603"/>
      <c r="EH72" s="603"/>
      <c r="EI72" s="603"/>
      <c r="EJ72" s="603"/>
      <c r="EK72" s="603"/>
      <c r="EL72" s="603"/>
      <c r="EM72" s="603"/>
      <c r="EN72" s="603"/>
      <c r="EO72" s="603"/>
      <c r="EP72" s="603"/>
      <c r="EQ72" s="603"/>
      <c r="ER72" s="603"/>
      <c r="ES72" s="603"/>
      <c r="ET72" s="603"/>
      <c r="EU72" s="603"/>
      <c r="EV72" s="603"/>
    </row>
    <row r="73" spans="1:152" s="605" customFormat="1" ht="20.100000000000001" customHeight="1">
      <c r="A73" s="684" t="s">
        <v>72</v>
      </c>
      <c r="B73" s="685">
        <f>'예산세출(상담)'!W211</f>
        <v>0</v>
      </c>
      <c r="C73" s="686">
        <f t="shared" si="3"/>
        <v>0</v>
      </c>
      <c r="D73" s="685">
        <f>'예산세출(상담)'!X211</f>
        <v>9400000</v>
      </c>
      <c r="E73" s="676">
        <f t="shared" si="4"/>
        <v>1.6136560622569108E-3</v>
      </c>
      <c r="F73" s="685">
        <f t="shared" si="15"/>
        <v>-9400000</v>
      </c>
      <c r="G73" s="640">
        <f t="shared" si="14"/>
        <v>-1</v>
      </c>
      <c r="H73" s="670"/>
      <c r="I73" s="670"/>
      <c r="J73" s="670"/>
      <c r="K73" s="670"/>
      <c r="L73" s="603"/>
      <c r="M73" s="603"/>
      <c r="N73" s="603"/>
      <c r="O73" s="603"/>
      <c r="P73" s="603"/>
      <c r="Q73" s="603"/>
      <c r="R73" s="603"/>
      <c r="S73" s="603"/>
      <c r="T73" s="603"/>
      <c r="U73" s="603"/>
      <c r="V73" s="603"/>
      <c r="W73" s="603"/>
      <c r="X73" s="603"/>
      <c r="Y73" s="603"/>
      <c r="Z73" s="603"/>
      <c r="AA73" s="603"/>
      <c r="AB73" s="603"/>
      <c r="AC73" s="603"/>
      <c r="AD73" s="603"/>
      <c r="AE73" s="603"/>
      <c r="AF73" s="603"/>
      <c r="AG73" s="603"/>
      <c r="AH73" s="603"/>
      <c r="AI73" s="603"/>
      <c r="AJ73" s="603"/>
      <c r="AK73" s="603"/>
      <c r="AL73" s="603"/>
      <c r="AM73" s="603"/>
      <c r="AN73" s="603"/>
      <c r="AO73" s="603"/>
      <c r="AP73" s="603"/>
      <c r="AQ73" s="603"/>
      <c r="AR73" s="603"/>
      <c r="AS73" s="603"/>
      <c r="AT73" s="603"/>
      <c r="AU73" s="603"/>
      <c r="AV73" s="603"/>
      <c r="AW73" s="603"/>
      <c r="AX73" s="603"/>
      <c r="AY73" s="603"/>
      <c r="AZ73" s="603"/>
      <c r="BA73" s="603"/>
      <c r="BB73" s="603"/>
      <c r="BC73" s="603"/>
      <c r="BD73" s="603"/>
      <c r="BE73" s="603"/>
      <c r="BF73" s="603"/>
      <c r="BG73" s="603"/>
      <c r="BH73" s="603"/>
      <c r="BI73" s="603"/>
      <c r="BJ73" s="603"/>
      <c r="BK73" s="603"/>
      <c r="BL73" s="603"/>
      <c r="BM73" s="603"/>
      <c r="BN73" s="603"/>
      <c r="BO73" s="603"/>
      <c r="BP73" s="603"/>
      <c r="BQ73" s="603"/>
      <c r="BR73" s="603"/>
      <c r="BS73" s="603"/>
      <c r="BT73" s="603"/>
      <c r="BU73" s="603"/>
      <c r="BV73" s="603"/>
      <c r="BW73" s="603"/>
      <c r="BX73" s="603"/>
      <c r="BY73" s="603"/>
      <c r="BZ73" s="603"/>
      <c r="CA73" s="603"/>
      <c r="CB73" s="603"/>
      <c r="CC73" s="603"/>
      <c r="CD73" s="603"/>
      <c r="CE73" s="603"/>
      <c r="CF73" s="603"/>
      <c r="CG73" s="603"/>
      <c r="CH73" s="603"/>
      <c r="CI73" s="603"/>
      <c r="CJ73" s="603"/>
      <c r="CK73" s="603"/>
      <c r="CL73" s="603"/>
      <c r="CM73" s="603"/>
      <c r="CN73" s="603"/>
      <c r="CO73" s="603"/>
      <c r="CP73" s="603"/>
      <c r="CQ73" s="603"/>
      <c r="CR73" s="603"/>
      <c r="CS73" s="603"/>
      <c r="CT73" s="603"/>
      <c r="CU73" s="603"/>
      <c r="CV73" s="603"/>
      <c r="CW73" s="603"/>
      <c r="CX73" s="603"/>
      <c r="CY73" s="603"/>
      <c r="CZ73" s="603"/>
      <c r="DA73" s="603"/>
      <c r="DB73" s="603"/>
      <c r="DC73" s="603"/>
      <c r="DD73" s="603"/>
      <c r="DE73" s="603"/>
      <c r="DF73" s="603"/>
      <c r="DG73" s="603"/>
      <c r="DH73" s="603"/>
      <c r="DI73" s="603"/>
      <c r="DJ73" s="603"/>
      <c r="DK73" s="603"/>
      <c r="DL73" s="603"/>
      <c r="DM73" s="603"/>
      <c r="DN73" s="603"/>
      <c r="DO73" s="603"/>
      <c r="DP73" s="603"/>
      <c r="DQ73" s="603"/>
      <c r="DR73" s="603"/>
      <c r="DS73" s="603"/>
      <c r="DT73" s="603"/>
      <c r="DU73" s="603"/>
      <c r="DV73" s="603"/>
      <c r="DW73" s="603"/>
      <c r="DX73" s="603"/>
      <c r="DY73" s="603"/>
      <c r="DZ73" s="603"/>
      <c r="EA73" s="603"/>
      <c r="EB73" s="603"/>
      <c r="EC73" s="603"/>
      <c r="ED73" s="603"/>
      <c r="EE73" s="603"/>
      <c r="EF73" s="603"/>
      <c r="EG73" s="603"/>
      <c r="EH73" s="603"/>
      <c r="EI73" s="603"/>
      <c r="EJ73" s="603"/>
      <c r="EK73" s="603"/>
      <c r="EL73" s="603"/>
      <c r="EM73" s="603"/>
      <c r="EN73" s="603"/>
      <c r="EO73" s="603"/>
      <c r="EP73" s="603"/>
      <c r="EQ73" s="603"/>
      <c r="ER73" s="603"/>
      <c r="ES73" s="603"/>
      <c r="ET73" s="603"/>
      <c r="EU73" s="603"/>
      <c r="EV73" s="603"/>
    </row>
    <row r="74" spans="1:152" s="605" customFormat="1" ht="20.100000000000001" customHeight="1">
      <c r="A74" s="684" t="s">
        <v>28</v>
      </c>
      <c r="B74" s="685">
        <f>'예산세출(화정)'!T121</f>
        <v>22328000</v>
      </c>
      <c r="C74" s="686">
        <f t="shared" si="3"/>
        <v>2.5611748919518681E-3</v>
      </c>
      <c r="D74" s="685">
        <f>'예산세출(화정)'!U121</f>
        <v>19620000</v>
      </c>
      <c r="E74" s="686">
        <f t="shared" si="4"/>
        <v>3.3680778661149564E-3</v>
      </c>
      <c r="F74" s="685">
        <f t="shared" si="15"/>
        <v>2708000</v>
      </c>
      <c r="G74" s="640">
        <f t="shared" si="14"/>
        <v>0.13802242609582061</v>
      </c>
      <c r="H74" s="670"/>
      <c r="I74" s="670"/>
      <c r="J74" s="670"/>
      <c r="K74" s="670"/>
      <c r="L74" s="603"/>
      <c r="M74" s="603"/>
      <c r="N74" s="603"/>
      <c r="O74" s="603"/>
      <c r="P74" s="603"/>
      <c r="Q74" s="603"/>
      <c r="R74" s="603"/>
      <c r="S74" s="603"/>
      <c r="T74" s="603"/>
      <c r="U74" s="603"/>
      <c r="V74" s="603"/>
      <c r="W74" s="603"/>
      <c r="X74" s="603"/>
      <c r="Y74" s="603"/>
      <c r="Z74" s="603"/>
      <c r="AA74" s="603"/>
      <c r="AB74" s="603"/>
      <c r="AC74" s="603"/>
      <c r="AD74" s="603"/>
      <c r="AE74" s="603"/>
      <c r="AF74" s="603"/>
      <c r="AG74" s="603"/>
      <c r="AH74" s="603"/>
      <c r="AI74" s="603"/>
      <c r="AJ74" s="603"/>
      <c r="AK74" s="603"/>
      <c r="AL74" s="603"/>
      <c r="AM74" s="603"/>
      <c r="AN74" s="603"/>
      <c r="AO74" s="603"/>
      <c r="AP74" s="603"/>
      <c r="AQ74" s="603"/>
      <c r="AR74" s="603"/>
      <c r="AS74" s="603"/>
      <c r="AT74" s="603"/>
      <c r="AU74" s="603"/>
      <c r="AV74" s="603"/>
      <c r="AW74" s="603"/>
      <c r="AX74" s="603"/>
      <c r="AY74" s="603"/>
      <c r="AZ74" s="603"/>
      <c r="BA74" s="603"/>
      <c r="BB74" s="603"/>
      <c r="BC74" s="603"/>
      <c r="BD74" s="603"/>
      <c r="BE74" s="603"/>
      <c r="BF74" s="603"/>
      <c r="BG74" s="603"/>
      <c r="BH74" s="603"/>
      <c r="BI74" s="603"/>
      <c r="BJ74" s="603"/>
      <c r="BK74" s="603"/>
      <c r="BL74" s="603"/>
      <c r="BM74" s="603"/>
      <c r="BN74" s="603"/>
      <c r="BO74" s="603"/>
      <c r="BP74" s="603"/>
      <c r="BQ74" s="603"/>
      <c r="BR74" s="603"/>
      <c r="BS74" s="603"/>
      <c r="BT74" s="603"/>
      <c r="BU74" s="603"/>
      <c r="BV74" s="603"/>
      <c r="BW74" s="603"/>
      <c r="BX74" s="603"/>
      <c r="BY74" s="603"/>
      <c r="BZ74" s="603"/>
      <c r="CA74" s="603"/>
      <c r="CB74" s="603"/>
      <c r="CC74" s="603"/>
      <c r="CD74" s="603"/>
      <c r="CE74" s="603"/>
      <c r="CF74" s="603"/>
      <c r="CG74" s="603"/>
      <c r="CH74" s="603"/>
      <c r="CI74" s="603"/>
      <c r="CJ74" s="603"/>
      <c r="CK74" s="603"/>
      <c r="CL74" s="603"/>
      <c r="CM74" s="603"/>
      <c r="CN74" s="603"/>
      <c r="CO74" s="603"/>
      <c r="CP74" s="603"/>
      <c r="CQ74" s="603"/>
      <c r="CR74" s="603"/>
      <c r="CS74" s="603"/>
      <c r="CT74" s="603"/>
      <c r="CU74" s="603"/>
      <c r="CV74" s="603"/>
      <c r="CW74" s="603"/>
      <c r="CX74" s="603"/>
      <c r="CY74" s="603"/>
      <c r="CZ74" s="603"/>
      <c r="DA74" s="603"/>
      <c r="DB74" s="603"/>
      <c r="DC74" s="603"/>
      <c r="DD74" s="603"/>
      <c r="DE74" s="603"/>
      <c r="DF74" s="603"/>
      <c r="DG74" s="603"/>
      <c r="DH74" s="603"/>
      <c r="DI74" s="603"/>
      <c r="DJ74" s="603"/>
      <c r="DK74" s="603"/>
      <c r="DL74" s="603"/>
      <c r="DM74" s="603"/>
      <c r="DN74" s="603"/>
      <c r="DO74" s="603"/>
      <c r="DP74" s="603"/>
      <c r="DQ74" s="603"/>
      <c r="DR74" s="603"/>
      <c r="DS74" s="603"/>
      <c r="DT74" s="603"/>
      <c r="DU74" s="603"/>
      <c r="DV74" s="603"/>
      <c r="DW74" s="603"/>
      <c r="DX74" s="603"/>
      <c r="DY74" s="603"/>
      <c r="DZ74" s="603"/>
      <c r="EA74" s="603"/>
      <c r="EB74" s="603"/>
      <c r="EC74" s="603"/>
      <c r="ED74" s="603"/>
      <c r="EE74" s="603"/>
      <c r="EF74" s="603"/>
      <c r="EG74" s="603"/>
      <c r="EH74" s="603"/>
      <c r="EI74" s="603"/>
      <c r="EJ74" s="603"/>
      <c r="EK74" s="603"/>
      <c r="EL74" s="603"/>
      <c r="EM74" s="603"/>
      <c r="EN74" s="603"/>
      <c r="EO74" s="603"/>
      <c r="EP74" s="603"/>
      <c r="EQ74" s="603"/>
      <c r="ER74" s="603"/>
      <c r="ES74" s="603"/>
      <c r="ET74" s="603"/>
      <c r="EU74" s="603"/>
      <c r="EV74" s="603"/>
    </row>
    <row r="75" spans="1:152" s="605" customFormat="1" ht="20.100000000000001" customHeight="1">
      <c r="A75" s="684" t="s">
        <v>2515</v>
      </c>
      <c r="B75" s="685">
        <f>'예산세출(백마)'!W73</f>
        <v>8000000</v>
      </c>
      <c r="C75" s="686">
        <f t="shared" si="3"/>
        <v>9.176549236660222E-4</v>
      </c>
      <c r="D75" s="685">
        <f>'예산세출(백마)'!X73</f>
        <v>11500000</v>
      </c>
      <c r="E75" s="676">
        <f t="shared" si="4"/>
        <v>1.9741536931866463E-3</v>
      </c>
      <c r="F75" s="685">
        <f t="shared" si="15"/>
        <v>-3500000</v>
      </c>
      <c r="G75" s="640">
        <f t="shared" si="14"/>
        <v>-0.30434782608695654</v>
      </c>
      <c r="H75" s="670"/>
      <c r="I75" s="670"/>
      <c r="J75" s="670"/>
      <c r="K75" s="670"/>
      <c r="L75" s="603"/>
      <c r="M75" s="603"/>
      <c r="N75" s="603"/>
      <c r="O75" s="603"/>
      <c r="P75" s="603"/>
      <c r="Q75" s="603"/>
      <c r="R75" s="603"/>
      <c r="S75" s="603"/>
      <c r="T75" s="603"/>
      <c r="U75" s="603"/>
      <c r="V75" s="603"/>
      <c r="W75" s="603"/>
      <c r="X75" s="603"/>
      <c r="Y75" s="603"/>
      <c r="Z75" s="603"/>
      <c r="AA75" s="603"/>
      <c r="AB75" s="603"/>
      <c r="AC75" s="603"/>
      <c r="AD75" s="603"/>
      <c r="AE75" s="603"/>
      <c r="AF75" s="603"/>
      <c r="AG75" s="603"/>
      <c r="AH75" s="603"/>
      <c r="AI75" s="603"/>
      <c r="AJ75" s="603"/>
      <c r="AK75" s="603"/>
      <c r="AL75" s="603"/>
      <c r="AM75" s="603"/>
      <c r="AN75" s="603"/>
      <c r="AO75" s="603"/>
      <c r="AP75" s="603"/>
      <c r="AQ75" s="603"/>
      <c r="AR75" s="603"/>
      <c r="AS75" s="603"/>
      <c r="AT75" s="603"/>
      <c r="AU75" s="603"/>
      <c r="AV75" s="603"/>
      <c r="AW75" s="603"/>
      <c r="AX75" s="603"/>
      <c r="AY75" s="603"/>
      <c r="AZ75" s="603"/>
      <c r="BA75" s="603"/>
      <c r="BB75" s="603"/>
      <c r="BC75" s="603"/>
      <c r="BD75" s="603"/>
      <c r="BE75" s="603"/>
      <c r="BF75" s="603"/>
      <c r="BG75" s="603"/>
      <c r="BH75" s="603"/>
      <c r="BI75" s="603"/>
      <c r="BJ75" s="603"/>
      <c r="BK75" s="603"/>
      <c r="BL75" s="603"/>
      <c r="BM75" s="603"/>
      <c r="BN75" s="603"/>
      <c r="BO75" s="603"/>
      <c r="BP75" s="603"/>
      <c r="BQ75" s="603"/>
      <c r="BR75" s="603"/>
      <c r="BS75" s="603"/>
      <c r="BT75" s="603"/>
      <c r="BU75" s="603"/>
      <c r="BV75" s="603"/>
      <c r="BW75" s="603"/>
      <c r="BX75" s="603"/>
      <c r="BY75" s="603"/>
      <c r="BZ75" s="603"/>
      <c r="CA75" s="603"/>
      <c r="CB75" s="603"/>
      <c r="CC75" s="603"/>
      <c r="CD75" s="603"/>
      <c r="CE75" s="603"/>
      <c r="CF75" s="603"/>
      <c r="CG75" s="603"/>
      <c r="CH75" s="603"/>
      <c r="CI75" s="603"/>
      <c r="CJ75" s="603"/>
      <c r="CK75" s="603"/>
      <c r="CL75" s="603"/>
      <c r="CM75" s="603"/>
      <c r="CN75" s="603"/>
      <c r="CO75" s="603"/>
      <c r="CP75" s="603"/>
      <c r="CQ75" s="603"/>
      <c r="CR75" s="603"/>
      <c r="CS75" s="603"/>
      <c r="CT75" s="603"/>
      <c r="CU75" s="603"/>
      <c r="CV75" s="603"/>
      <c r="CW75" s="603"/>
      <c r="CX75" s="603"/>
      <c r="CY75" s="603"/>
      <c r="CZ75" s="603"/>
      <c r="DA75" s="603"/>
      <c r="DB75" s="603"/>
      <c r="DC75" s="603"/>
      <c r="DD75" s="603"/>
      <c r="DE75" s="603"/>
      <c r="DF75" s="603"/>
      <c r="DG75" s="603"/>
      <c r="DH75" s="603"/>
      <c r="DI75" s="603"/>
      <c r="DJ75" s="603"/>
      <c r="DK75" s="603"/>
      <c r="DL75" s="603"/>
      <c r="DM75" s="603"/>
      <c r="DN75" s="603"/>
      <c r="DO75" s="603"/>
      <c r="DP75" s="603"/>
      <c r="DQ75" s="603"/>
      <c r="DR75" s="603"/>
      <c r="DS75" s="603"/>
      <c r="DT75" s="603"/>
      <c r="DU75" s="603"/>
      <c r="DV75" s="603"/>
      <c r="DW75" s="603"/>
      <c r="DX75" s="603"/>
      <c r="DY75" s="603"/>
      <c r="DZ75" s="603"/>
      <c r="EA75" s="603"/>
      <c r="EB75" s="603"/>
      <c r="EC75" s="603"/>
      <c r="ED75" s="603"/>
      <c r="EE75" s="603"/>
      <c r="EF75" s="603"/>
      <c r="EG75" s="603"/>
      <c r="EH75" s="603"/>
      <c r="EI75" s="603"/>
      <c r="EJ75" s="603"/>
      <c r="EK75" s="603"/>
      <c r="EL75" s="603"/>
      <c r="EM75" s="603"/>
      <c r="EN75" s="603"/>
      <c r="EO75" s="603"/>
      <c r="EP75" s="603"/>
      <c r="EQ75" s="603"/>
      <c r="ER75" s="603"/>
      <c r="ES75" s="603"/>
      <c r="ET75" s="603"/>
      <c r="EU75" s="603"/>
      <c r="EV75" s="603"/>
    </row>
    <row r="76" spans="1:152" s="605" customFormat="1" ht="20.100000000000001" customHeight="1">
      <c r="A76" s="691" t="s">
        <v>2516</v>
      </c>
      <c r="B76" s="692">
        <f>'예산세출(능곡)'!Q67+'예산세출(능곡)'!Q70</f>
        <v>2400000</v>
      </c>
      <c r="C76" s="686">
        <f t="shared" si="3"/>
        <v>2.7529647709980667E-4</v>
      </c>
      <c r="D76" s="692">
        <f>'예산세출(능곡)'!R67+'예산세출(능곡)'!R70</f>
        <v>0</v>
      </c>
      <c r="E76" s="676">
        <f t="shared" si="4"/>
        <v>0</v>
      </c>
      <c r="F76" s="685">
        <f t="shared" si="15"/>
        <v>2400000</v>
      </c>
      <c r="G76" s="640">
        <v>1</v>
      </c>
      <c r="H76" s="670"/>
      <c r="I76" s="670"/>
      <c r="J76" s="670"/>
      <c r="K76" s="670"/>
      <c r="L76" s="603"/>
      <c r="M76" s="603"/>
      <c r="N76" s="603"/>
      <c r="O76" s="603"/>
      <c r="P76" s="603"/>
      <c r="Q76" s="603"/>
      <c r="R76" s="603"/>
      <c r="S76" s="603"/>
      <c r="T76" s="603"/>
      <c r="U76" s="603"/>
      <c r="V76" s="603"/>
      <c r="W76" s="603"/>
      <c r="X76" s="603"/>
      <c r="Y76" s="603"/>
      <c r="Z76" s="603"/>
      <c r="AA76" s="603"/>
      <c r="AB76" s="603"/>
      <c r="AC76" s="603"/>
      <c r="AD76" s="603"/>
      <c r="AE76" s="603"/>
      <c r="AF76" s="603"/>
      <c r="AG76" s="603"/>
      <c r="AH76" s="603"/>
      <c r="AI76" s="603"/>
      <c r="AJ76" s="603"/>
      <c r="AK76" s="603"/>
      <c r="AL76" s="603"/>
      <c r="AM76" s="603"/>
      <c r="AN76" s="603"/>
      <c r="AO76" s="603"/>
      <c r="AP76" s="603"/>
      <c r="AQ76" s="603"/>
      <c r="AR76" s="603"/>
      <c r="AS76" s="603"/>
      <c r="AT76" s="603"/>
      <c r="AU76" s="603"/>
      <c r="AV76" s="603"/>
      <c r="AW76" s="603"/>
      <c r="AX76" s="603"/>
      <c r="AY76" s="603"/>
      <c r="AZ76" s="603"/>
      <c r="BA76" s="603"/>
      <c r="BB76" s="603"/>
      <c r="BC76" s="603"/>
      <c r="BD76" s="603"/>
      <c r="BE76" s="603"/>
      <c r="BF76" s="603"/>
      <c r="BG76" s="603"/>
      <c r="BH76" s="603"/>
      <c r="BI76" s="603"/>
      <c r="BJ76" s="603"/>
      <c r="BK76" s="603"/>
      <c r="BL76" s="603"/>
      <c r="BM76" s="603"/>
      <c r="BN76" s="603"/>
      <c r="BO76" s="603"/>
      <c r="BP76" s="603"/>
      <c r="BQ76" s="603"/>
      <c r="BR76" s="603"/>
      <c r="BS76" s="603"/>
      <c r="BT76" s="603"/>
      <c r="BU76" s="603"/>
      <c r="BV76" s="603"/>
      <c r="BW76" s="603"/>
      <c r="BX76" s="603"/>
      <c r="BY76" s="603"/>
      <c r="BZ76" s="603"/>
      <c r="CA76" s="603"/>
      <c r="CB76" s="603"/>
      <c r="CC76" s="603"/>
      <c r="CD76" s="603"/>
      <c r="CE76" s="603"/>
      <c r="CF76" s="603"/>
      <c r="CG76" s="603"/>
      <c r="CH76" s="603"/>
      <c r="CI76" s="603"/>
      <c r="CJ76" s="603"/>
      <c r="CK76" s="603"/>
      <c r="CL76" s="603"/>
      <c r="CM76" s="603"/>
      <c r="CN76" s="603"/>
      <c r="CO76" s="603"/>
      <c r="CP76" s="603"/>
      <c r="CQ76" s="603"/>
      <c r="CR76" s="603"/>
      <c r="CS76" s="603"/>
      <c r="CT76" s="603"/>
      <c r="CU76" s="603"/>
      <c r="CV76" s="603"/>
      <c r="CW76" s="603"/>
      <c r="CX76" s="603"/>
      <c r="CY76" s="603"/>
      <c r="CZ76" s="603"/>
      <c r="DA76" s="603"/>
      <c r="DB76" s="603"/>
      <c r="DC76" s="603"/>
      <c r="DD76" s="603"/>
      <c r="DE76" s="603"/>
      <c r="DF76" s="603"/>
      <c r="DG76" s="603"/>
      <c r="DH76" s="603"/>
      <c r="DI76" s="603"/>
      <c r="DJ76" s="603"/>
      <c r="DK76" s="603"/>
      <c r="DL76" s="603"/>
      <c r="DM76" s="603"/>
      <c r="DN76" s="603"/>
      <c r="DO76" s="603"/>
      <c r="DP76" s="603"/>
      <c r="DQ76" s="603"/>
      <c r="DR76" s="603"/>
      <c r="DS76" s="603"/>
      <c r="DT76" s="603"/>
      <c r="DU76" s="603"/>
      <c r="DV76" s="603"/>
      <c r="DW76" s="603"/>
      <c r="DX76" s="603"/>
      <c r="DY76" s="603"/>
      <c r="DZ76" s="603"/>
      <c r="EA76" s="603"/>
      <c r="EB76" s="603"/>
      <c r="EC76" s="603"/>
      <c r="ED76" s="603"/>
      <c r="EE76" s="603"/>
      <c r="EF76" s="603"/>
      <c r="EG76" s="603"/>
      <c r="EH76" s="603"/>
      <c r="EI76" s="603"/>
      <c r="EJ76" s="603"/>
      <c r="EK76" s="603"/>
      <c r="EL76" s="603"/>
      <c r="EM76" s="603"/>
      <c r="EN76" s="603"/>
      <c r="EO76" s="603"/>
      <c r="EP76" s="603"/>
      <c r="EQ76" s="603"/>
      <c r="ER76" s="603"/>
      <c r="ES76" s="603"/>
      <c r="ET76" s="603"/>
      <c r="EU76" s="603"/>
      <c r="EV76" s="603"/>
    </row>
    <row r="77" spans="1:152" s="605" customFormat="1" ht="20.100000000000001" customHeight="1">
      <c r="A77" s="687" t="s">
        <v>2316</v>
      </c>
      <c r="B77" s="688">
        <f>SUM(B78:B82)</f>
        <v>1590274000</v>
      </c>
      <c r="C77" s="689">
        <f t="shared" si="3"/>
        <v>0.18241534575975749</v>
      </c>
      <c r="D77" s="688">
        <f>SUM(D78:D82)</f>
        <v>827450000</v>
      </c>
      <c r="E77" s="689">
        <f t="shared" si="4"/>
        <v>0.14204464986324264</v>
      </c>
      <c r="F77" s="688">
        <f>SUM(F78:F82)</f>
        <v>762824000</v>
      </c>
      <c r="G77" s="690">
        <f t="shared" si="14"/>
        <v>0.92189739561302797</v>
      </c>
      <c r="H77" s="669"/>
      <c r="I77" s="669"/>
      <c r="J77" s="669"/>
      <c r="K77" s="669"/>
      <c r="L77" s="603"/>
      <c r="M77" s="603"/>
      <c r="N77" s="603"/>
      <c r="O77" s="603"/>
      <c r="P77" s="603"/>
      <c r="Q77" s="603"/>
      <c r="R77" s="603"/>
      <c r="S77" s="603"/>
      <c r="T77" s="603"/>
      <c r="U77" s="603"/>
      <c r="V77" s="603"/>
      <c r="W77" s="603"/>
      <c r="X77" s="603"/>
      <c r="Y77" s="603"/>
      <c r="Z77" s="603"/>
      <c r="AA77" s="603"/>
      <c r="AB77" s="603"/>
      <c r="AC77" s="603"/>
      <c r="AD77" s="603"/>
      <c r="AE77" s="603"/>
      <c r="AF77" s="603"/>
      <c r="AG77" s="603"/>
      <c r="AH77" s="603"/>
      <c r="AI77" s="603"/>
      <c r="AJ77" s="603"/>
      <c r="AK77" s="603"/>
      <c r="AL77" s="603"/>
      <c r="AM77" s="603"/>
      <c r="AN77" s="603"/>
      <c r="AO77" s="603"/>
      <c r="AP77" s="603"/>
      <c r="AQ77" s="603"/>
      <c r="AR77" s="603"/>
      <c r="AS77" s="603"/>
      <c r="AT77" s="603"/>
      <c r="AU77" s="603"/>
      <c r="AV77" s="603"/>
      <c r="AW77" s="603"/>
      <c r="AX77" s="603"/>
      <c r="AY77" s="603"/>
      <c r="AZ77" s="603"/>
      <c r="BA77" s="603"/>
      <c r="BB77" s="603"/>
      <c r="BC77" s="603"/>
      <c r="BD77" s="603"/>
      <c r="BE77" s="603"/>
      <c r="BF77" s="603"/>
      <c r="BG77" s="603"/>
      <c r="BH77" s="603"/>
      <c r="BI77" s="603"/>
      <c r="BJ77" s="603"/>
      <c r="BK77" s="603"/>
      <c r="BL77" s="603"/>
      <c r="BM77" s="603"/>
      <c r="BN77" s="603"/>
      <c r="BO77" s="603"/>
      <c r="BP77" s="603"/>
      <c r="BQ77" s="603"/>
      <c r="BR77" s="603"/>
      <c r="BS77" s="603"/>
      <c r="BT77" s="603"/>
      <c r="BU77" s="603"/>
      <c r="BV77" s="603"/>
      <c r="BW77" s="603"/>
      <c r="BX77" s="603"/>
      <c r="BY77" s="603"/>
      <c r="BZ77" s="603"/>
      <c r="CA77" s="603"/>
      <c r="CB77" s="603"/>
      <c r="CC77" s="603"/>
      <c r="CD77" s="603"/>
      <c r="CE77" s="603"/>
      <c r="CF77" s="603"/>
      <c r="CG77" s="603"/>
      <c r="CH77" s="603"/>
      <c r="CI77" s="603"/>
      <c r="CJ77" s="603"/>
      <c r="CK77" s="603"/>
      <c r="CL77" s="603"/>
      <c r="CM77" s="603"/>
      <c r="CN77" s="603"/>
      <c r="CO77" s="603"/>
      <c r="CP77" s="603"/>
      <c r="CQ77" s="603"/>
      <c r="CR77" s="603"/>
      <c r="CS77" s="603"/>
      <c r="CT77" s="603"/>
      <c r="CU77" s="603"/>
      <c r="CV77" s="603"/>
      <c r="CW77" s="603"/>
      <c r="CX77" s="603"/>
      <c r="CY77" s="603"/>
      <c r="CZ77" s="603"/>
      <c r="DA77" s="603"/>
      <c r="DB77" s="603"/>
      <c r="DC77" s="603"/>
      <c r="DD77" s="603"/>
      <c r="DE77" s="603"/>
      <c r="DF77" s="603"/>
      <c r="DG77" s="603"/>
      <c r="DH77" s="603"/>
      <c r="DI77" s="603"/>
      <c r="DJ77" s="603"/>
      <c r="DK77" s="603"/>
      <c r="DL77" s="603"/>
      <c r="DM77" s="603"/>
      <c r="DN77" s="603"/>
      <c r="DO77" s="603"/>
      <c r="DP77" s="603"/>
      <c r="DQ77" s="603"/>
      <c r="DR77" s="603"/>
      <c r="DS77" s="603"/>
      <c r="DT77" s="603"/>
      <c r="DU77" s="603"/>
      <c r="DV77" s="603"/>
      <c r="DW77" s="603"/>
      <c r="DX77" s="603"/>
      <c r="DY77" s="603"/>
      <c r="DZ77" s="603"/>
      <c r="EA77" s="603"/>
      <c r="EB77" s="603"/>
      <c r="EC77" s="603"/>
      <c r="ED77" s="603"/>
      <c r="EE77" s="603"/>
      <c r="EF77" s="603"/>
      <c r="EG77" s="603"/>
      <c r="EH77" s="603"/>
      <c r="EI77" s="603"/>
      <c r="EJ77" s="603"/>
      <c r="EK77" s="603"/>
      <c r="EL77" s="603"/>
      <c r="EM77" s="603"/>
      <c r="EN77" s="603"/>
      <c r="EO77" s="603"/>
      <c r="EP77" s="603"/>
      <c r="EQ77" s="603"/>
      <c r="ER77" s="603"/>
      <c r="ES77" s="603"/>
      <c r="ET77" s="603"/>
      <c r="EU77" s="603"/>
      <c r="EV77" s="603"/>
    </row>
    <row r="78" spans="1:152" s="605" customFormat="1" ht="20.100000000000001" customHeight="1">
      <c r="A78" s="684" t="s">
        <v>2315</v>
      </c>
      <c r="B78" s="685">
        <f>'예산세출(마두)'!W179</f>
        <v>431350000</v>
      </c>
      <c r="C78" s="686">
        <f t="shared" si="3"/>
        <v>4.947880641541734E-2</v>
      </c>
      <c r="D78" s="685">
        <f>'예산세출(마두)'!X179</f>
        <v>421960000</v>
      </c>
      <c r="E78" s="676">
        <f t="shared" si="4"/>
        <v>7.2435990641481499E-2</v>
      </c>
      <c r="F78" s="685">
        <f>+B78-D78</f>
        <v>9390000</v>
      </c>
      <c r="G78" s="640">
        <f t="shared" si="14"/>
        <v>2.2253294151104368E-2</v>
      </c>
      <c r="H78" s="670"/>
      <c r="I78" s="670"/>
      <c r="J78" s="670"/>
      <c r="K78" s="670"/>
      <c r="L78" s="603"/>
      <c r="M78" s="603"/>
      <c r="N78" s="603"/>
      <c r="O78" s="603"/>
      <c r="P78" s="603"/>
      <c r="Q78" s="603"/>
      <c r="R78" s="603"/>
      <c r="S78" s="603"/>
      <c r="T78" s="603"/>
      <c r="U78" s="603"/>
      <c r="V78" s="603"/>
      <c r="W78" s="603"/>
      <c r="X78" s="603"/>
      <c r="Y78" s="603"/>
      <c r="Z78" s="603"/>
      <c r="AA78" s="603"/>
      <c r="AB78" s="603"/>
      <c r="AC78" s="603"/>
      <c r="AD78" s="603"/>
      <c r="AE78" s="603"/>
      <c r="AF78" s="603"/>
      <c r="AG78" s="603"/>
      <c r="AH78" s="603"/>
      <c r="AI78" s="603"/>
      <c r="AJ78" s="603"/>
      <c r="AK78" s="603"/>
      <c r="AL78" s="603"/>
      <c r="AM78" s="603"/>
      <c r="AN78" s="603"/>
      <c r="AO78" s="603"/>
      <c r="AP78" s="603"/>
      <c r="AQ78" s="603"/>
      <c r="AR78" s="603"/>
      <c r="AS78" s="603"/>
      <c r="AT78" s="603"/>
      <c r="AU78" s="603"/>
      <c r="AV78" s="603"/>
      <c r="AW78" s="603"/>
      <c r="AX78" s="603"/>
      <c r="AY78" s="603"/>
      <c r="AZ78" s="603"/>
      <c r="BA78" s="603"/>
      <c r="BB78" s="603"/>
      <c r="BC78" s="603"/>
      <c r="BD78" s="603"/>
      <c r="BE78" s="603"/>
      <c r="BF78" s="603"/>
      <c r="BG78" s="603"/>
      <c r="BH78" s="603"/>
      <c r="BI78" s="603"/>
      <c r="BJ78" s="603"/>
      <c r="BK78" s="603"/>
      <c r="BL78" s="603"/>
      <c r="BM78" s="603"/>
      <c r="BN78" s="603"/>
      <c r="BO78" s="603"/>
      <c r="BP78" s="603"/>
      <c r="BQ78" s="603"/>
      <c r="BR78" s="603"/>
      <c r="BS78" s="603"/>
      <c r="BT78" s="603"/>
      <c r="BU78" s="603"/>
      <c r="BV78" s="603"/>
      <c r="BW78" s="603"/>
      <c r="BX78" s="603"/>
      <c r="BY78" s="603"/>
      <c r="BZ78" s="603"/>
      <c r="CA78" s="603"/>
      <c r="CB78" s="603"/>
      <c r="CC78" s="603"/>
      <c r="CD78" s="603"/>
      <c r="CE78" s="603"/>
      <c r="CF78" s="603"/>
      <c r="CG78" s="603"/>
      <c r="CH78" s="603"/>
      <c r="CI78" s="603"/>
      <c r="CJ78" s="603"/>
      <c r="CK78" s="603"/>
      <c r="CL78" s="603"/>
      <c r="CM78" s="603"/>
      <c r="CN78" s="603"/>
      <c r="CO78" s="603"/>
      <c r="CP78" s="603"/>
      <c r="CQ78" s="603"/>
      <c r="CR78" s="603"/>
      <c r="CS78" s="603"/>
      <c r="CT78" s="603"/>
      <c r="CU78" s="603"/>
      <c r="CV78" s="603"/>
      <c r="CW78" s="603"/>
      <c r="CX78" s="603"/>
      <c r="CY78" s="603"/>
      <c r="CZ78" s="603"/>
      <c r="DA78" s="603"/>
      <c r="DB78" s="603"/>
      <c r="DC78" s="603"/>
      <c r="DD78" s="603"/>
      <c r="DE78" s="603"/>
      <c r="DF78" s="603"/>
      <c r="DG78" s="603"/>
      <c r="DH78" s="603"/>
      <c r="DI78" s="603"/>
      <c r="DJ78" s="603"/>
      <c r="DK78" s="603"/>
      <c r="DL78" s="603"/>
      <c r="DM78" s="603"/>
      <c r="DN78" s="603"/>
      <c r="DO78" s="603"/>
      <c r="DP78" s="603"/>
      <c r="DQ78" s="603"/>
      <c r="DR78" s="603"/>
      <c r="DS78" s="603"/>
      <c r="DT78" s="603"/>
      <c r="DU78" s="603"/>
      <c r="DV78" s="603"/>
      <c r="DW78" s="603"/>
      <c r="DX78" s="603"/>
      <c r="DY78" s="603"/>
      <c r="DZ78" s="603"/>
      <c r="EA78" s="603"/>
      <c r="EB78" s="603"/>
      <c r="EC78" s="603"/>
      <c r="ED78" s="603"/>
      <c r="EE78" s="603"/>
      <c r="EF78" s="603"/>
      <c r="EG78" s="603"/>
      <c r="EH78" s="603"/>
      <c r="EI78" s="603"/>
      <c r="EJ78" s="603"/>
      <c r="EK78" s="603"/>
      <c r="EL78" s="603"/>
      <c r="EM78" s="603"/>
      <c r="EN78" s="603"/>
      <c r="EO78" s="603"/>
      <c r="EP78" s="603"/>
      <c r="EQ78" s="603"/>
      <c r="ER78" s="603"/>
      <c r="ES78" s="603"/>
      <c r="ET78" s="603"/>
      <c r="EU78" s="603"/>
      <c r="EV78" s="603"/>
    </row>
    <row r="79" spans="1:152" s="605" customFormat="1" ht="20.100000000000001" customHeight="1">
      <c r="A79" s="635" t="s">
        <v>2131</v>
      </c>
      <c r="B79" s="693">
        <f>'예산세출(일산서구)'!W184</f>
        <v>413766000</v>
      </c>
      <c r="C79" s="694">
        <f t="shared" si="3"/>
        <v>4.7461800893199423E-2</v>
      </c>
      <c r="D79" s="693">
        <f>'예산세출(일산서구)'!X184</f>
        <v>0</v>
      </c>
      <c r="E79" s="695">
        <f t="shared" si="4"/>
        <v>0</v>
      </c>
      <c r="F79" s="693">
        <f>+B79-D79</f>
        <v>413766000</v>
      </c>
      <c r="G79" s="640">
        <v>1</v>
      </c>
      <c r="H79" s="670"/>
      <c r="I79" s="670"/>
      <c r="J79" s="670"/>
      <c r="K79" s="670"/>
      <c r="L79" s="603"/>
      <c r="M79" s="603"/>
      <c r="N79" s="603"/>
      <c r="O79" s="603"/>
      <c r="P79" s="603"/>
      <c r="Q79" s="603"/>
      <c r="R79" s="603"/>
      <c r="S79" s="603"/>
      <c r="T79" s="603"/>
      <c r="U79" s="603"/>
      <c r="V79" s="603"/>
      <c r="W79" s="603"/>
      <c r="X79" s="603"/>
      <c r="Y79" s="603"/>
      <c r="Z79" s="603"/>
      <c r="AA79" s="603"/>
      <c r="AB79" s="603"/>
      <c r="AC79" s="603"/>
      <c r="AD79" s="603"/>
      <c r="AE79" s="603"/>
      <c r="AF79" s="603"/>
      <c r="AG79" s="603"/>
      <c r="AH79" s="603"/>
      <c r="AI79" s="603"/>
      <c r="AJ79" s="603"/>
      <c r="AK79" s="603"/>
      <c r="AL79" s="603"/>
      <c r="AM79" s="603"/>
      <c r="AN79" s="603"/>
      <c r="AO79" s="603"/>
      <c r="AP79" s="603"/>
      <c r="AQ79" s="603"/>
      <c r="AR79" s="603"/>
      <c r="AS79" s="603"/>
      <c r="AT79" s="603"/>
      <c r="AU79" s="603"/>
      <c r="AV79" s="603"/>
      <c r="AW79" s="603"/>
      <c r="AX79" s="603"/>
      <c r="AY79" s="603"/>
      <c r="AZ79" s="603"/>
      <c r="BA79" s="603"/>
      <c r="BB79" s="603"/>
      <c r="BC79" s="603"/>
      <c r="BD79" s="603"/>
      <c r="BE79" s="603"/>
      <c r="BF79" s="603"/>
      <c r="BG79" s="603"/>
      <c r="BH79" s="603"/>
      <c r="BI79" s="603"/>
      <c r="BJ79" s="603"/>
      <c r="BK79" s="603"/>
      <c r="BL79" s="603"/>
      <c r="BM79" s="603"/>
      <c r="BN79" s="603"/>
      <c r="BO79" s="603"/>
      <c r="BP79" s="603"/>
      <c r="BQ79" s="603"/>
      <c r="BR79" s="603"/>
      <c r="BS79" s="603"/>
      <c r="BT79" s="603"/>
      <c r="BU79" s="603"/>
      <c r="BV79" s="603"/>
      <c r="BW79" s="603"/>
      <c r="BX79" s="603"/>
      <c r="BY79" s="603"/>
      <c r="BZ79" s="603"/>
      <c r="CA79" s="603"/>
      <c r="CB79" s="603"/>
      <c r="CC79" s="603"/>
      <c r="CD79" s="603"/>
      <c r="CE79" s="603"/>
      <c r="CF79" s="603"/>
      <c r="CG79" s="603"/>
      <c r="CH79" s="603"/>
      <c r="CI79" s="603"/>
      <c r="CJ79" s="603"/>
      <c r="CK79" s="603"/>
      <c r="CL79" s="603"/>
      <c r="CM79" s="603"/>
      <c r="CN79" s="603"/>
      <c r="CO79" s="603"/>
      <c r="CP79" s="603"/>
      <c r="CQ79" s="603"/>
      <c r="CR79" s="603"/>
      <c r="CS79" s="603"/>
      <c r="CT79" s="603"/>
      <c r="CU79" s="603"/>
      <c r="CV79" s="603"/>
      <c r="CW79" s="603"/>
      <c r="CX79" s="603"/>
      <c r="CY79" s="603"/>
      <c r="CZ79" s="603"/>
      <c r="DA79" s="603"/>
      <c r="DB79" s="603"/>
      <c r="DC79" s="603"/>
      <c r="DD79" s="603"/>
      <c r="DE79" s="603"/>
      <c r="DF79" s="603"/>
      <c r="DG79" s="603"/>
      <c r="DH79" s="603"/>
      <c r="DI79" s="603"/>
      <c r="DJ79" s="603"/>
      <c r="DK79" s="603"/>
      <c r="DL79" s="603"/>
      <c r="DM79" s="603"/>
      <c r="DN79" s="603"/>
      <c r="DO79" s="603"/>
      <c r="DP79" s="603"/>
      <c r="DQ79" s="603"/>
      <c r="DR79" s="603"/>
      <c r="DS79" s="603"/>
      <c r="DT79" s="603"/>
      <c r="DU79" s="603"/>
      <c r="DV79" s="603"/>
      <c r="DW79" s="603"/>
      <c r="DX79" s="603"/>
      <c r="DY79" s="603"/>
      <c r="DZ79" s="603"/>
      <c r="EA79" s="603"/>
      <c r="EB79" s="603"/>
      <c r="EC79" s="603"/>
      <c r="ED79" s="603"/>
      <c r="EE79" s="603"/>
      <c r="EF79" s="603"/>
      <c r="EG79" s="603"/>
      <c r="EH79" s="603"/>
      <c r="EI79" s="603"/>
      <c r="EJ79" s="603"/>
      <c r="EK79" s="603"/>
      <c r="EL79" s="603"/>
      <c r="EM79" s="603"/>
      <c r="EN79" s="603"/>
      <c r="EO79" s="603"/>
      <c r="EP79" s="603"/>
      <c r="EQ79" s="603"/>
      <c r="ER79" s="603"/>
      <c r="ES79" s="603"/>
      <c r="ET79" s="603"/>
      <c r="EU79" s="603"/>
      <c r="EV79" s="603"/>
    </row>
    <row r="80" spans="1:152" s="605" customFormat="1" ht="20.100000000000001" customHeight="1">
      <c r="A80" s="635" t="s">
        <v>25</v>
      </c>
      <c r="B80" s="685">
        <f>'예산세출(탄현)'!W170</f>
        <v>85700000</v>
      </c>
      <c r="C80" s="686">
        <f t="shared" si="3"/>
        <v>9.8303783697722639E-3</v>
      </c>
      <c r="D80" s="685">
        <f>'예산세출(탄현)'!X170</f>
        <v>73606000</v>
      </c>
      <c r="E80" s="686">
        <f t="shared" si="4"/>
        <v>1.2635613629625763E-2</v>
      </c>
      <c r="F80" s="685">
        <f>+B80-D80</f>
        <v>12094000</v>
      </c>
      <c r="G80" s="640">
        <f t="shared" si="14"/>
        <v>0.16430725756052494</v>
      </c>
      <c r="H80" s="670"/>
      <c r="I80" s="670"/>
      <c r="J80" s="670"/>
      <c r="K80" s="670"/>
      <c r="L80" s="603"/>
      <c r="M80" s="661"/>
      <c r="N80" s="661"/>
      <c r="O80" s="661"/>
      <c r="P80" s="661"/>
      <c r="Q80" s="661"/>
      <c r="R80" s="661"/>
      <c r="S80" s="661"/>
      <c r="T80" s="661"/>
      <c r="U80" s="661"/>
      <c r="V80" s="661"/>
      <c r="W80" s="603"/>
      <c r="X80" s="603"/>
      <c r="Y80" s="603"/>
      <c r="Z80" s="603"/>
      <c r="AA80" s="603"/>
      <c r="AB80" s="603"/>
      <c r="AC80" s="603"/>
      <c r="AD80" s="603"/>
      <c r="AE80" s="603"/>
      <c r="AF80" s="603"/>
      <c r="AG80" s="603"/>
      <c r="AH80" s="603"/>
      <c r="AI80" s="603"/>
      <c r="AJ80" s="603"/>
      <c r="AK80" s="603"/>
      <c r="AL80" s="603"/>
      <c r="AM80" s="603"/>
      <c r="AN80" s="603"/>
      <c r="AO80" s="603"/>
      <c r="AP80" s="603"/>
      <c r="AQ80" s="603"/>
      <c r="AR80" s="603"/>
      <c r="AS80" s="603"/>
      <c r="AT80" s="603"/>
      <c r="AU80" s="603"/>
      <c r="AV80" s="603"/>
      <c r="AW80" s="603"/>
      <c r="AX80" s="603"/>
      <c r="AY80" s="603"/>
      <c r="AZ80" s="603"/>
      <c r="BA80" s="603"/>
      <c r="BB80" s="603"/>
      <c r="BC80" s="603"/>
      <c r="BD80" s="603"/>
      <c r="BE80" s="603"/>
      <c r="BF80" s="603"/>
      <c r="BG80" s="603"/>
      <c r="BH80" s="603"/>
      <c r="BI80" s="603"/>
      <c r="BJ80" s="603"/>
      <c r="BK80" s="603"/>
      <c r="BL80" s="603"/>
      <c r="BM80" s="603"/>
      <c r="BN80" s="603"/>
      <c r="BO80" s="603"/>
      <c r="BP80" s="603"/>
      <c r="BQ80" s="603"/>
      <c r="BR80" s="603"/>
      <c r="BS80" s="603"/>
      <c r="BT80" s="603"/>
      <c r="BU80" s="603"/>
      <c r="BV80" s="603"/>
      <c r="BW80" s="603"/>
      <c r="BX80" s="603"/>
      <c r="BY80" s="603"/>
      <c r="BZ80" s="603"/>
      <c r="CA80" s="603"/>
      <c r="CB80" s="603"/>
      <c r="CC80" s="603"/>
      <c r="CD80" s="603"/>
      <c r="CE80" s="603"/>
      <c r="CF80" s="603"/>
      <c r="CG80" s="603"/>
      <c r="CH80" s="603"/>
      <c r="CI80" s="603"/>
      <c r="CJ80" s="603"/>
      <c r="CK80" s="603"/>
      <c r="CL80" s="603"/>
      <c r="CM80" s="603"/>
      <c r="CN80" s="603"/>
      <c r="CO80" s="603"/>
      <c r="CP80" s="603"/>
      <c r="CQ80" s="603"/>
      <c r="CR80" s="603"/>
      <c r="CS80" s="603"/>
      <c r="CT80" s="603"/>
      <c r="CU80" s="603"/>
      <c r="CV80" s="603"/>
      <c r="CW80" s="603"/>
      <c r="CX80" s="603"/>
      <c r="CY80" s="603"/>
      <c r="CZ80" s="603"/>
      <c r="DA80" s="603"/>
      <c r="DB80" s="603"/>
      <c r="DC80" s="603"/>
      <c r="DD80" s="603"/>
      <c r="DE80" s="603"/>
      <c r="DF80" s="603"/>
      <c r="DG80" s="603"/>
      <c r="DH80" s="603"/>
      <c r="DI80" s="603"/>
      <c r="DJ80" s="603"/>
      <c r="DK80" s="603"/>
      <c r="DL80" s="603"/>
      <c r="DM80" s="603"/>
      <c r="DN80" s="603"/>
      <c r="DO80" s="603"/>
      <c r="DP80" s="603"/>
      <c r="DQ80" s="603"/>
      <c r="DR80" s="603"/>
      <c r="DS80" s="603"/>
      <c r="DT80" s="603"/>
      <c r="DU80" s="603"/>
      <c r="DV80" s="603"/>
      <c r="DW80" s="603"/>
      <c r="DX80" s="603"/>
      <c r="DY80" s="603"/>
      <c r="DZ80" s="603"/>
      <c r="EA80" s="603"/>
      <c r="EB80" s="603"/>
      <c r="EC80" s="603"/>
      <c r="ED80" s="603"/>
      <c r="EE80" s="603"/>
      <c r="EF80" s="603"/>
      <c r="EG80" s="603"/>
      <c r="EH80" s="603"/>
      <c r="EI80" s="603"/>
      <c r="EJ80" s="603"/>
      <c r="EK80" s="603"/>
      <c r="EL80" s="603"/>
      <c r="EM80" s="603"/>
      <c r="EN80" s="603"/>
      <c r="EO80" s="603"/>
      <c r="EP80" s="603"/>
      <c r="EQ80" s="603"/>
      <c r="ER80" s="603"/>
      <c r="ES80" s="603"/>
      <c r="ET80" s="603"/>
      <c r="EU80" s="603"/>
      <c r="EV80" s="603"/>
    </row>
    <row r="81" spans="1:152" s="605" customFormat="1" ht="20.100000000000001" customHeight="1">
      <c r="A81" s="677" t="s">
        <v>67</v>
      </c>
      <c r="B81" s="675">
        <f>'예산세출(토당)'!O189</f>
        <v>639298000</v>
      </c>
      <c r="C81" s="676">
        <f t="shared" ref="C81:C100" si="19">+B81/$B$7</f>
        <v>7.333186967373008E-2</v>
      </c>
      <c r="D81" s="675">
        <f>'예산세출(토당)'!P189</f>
        <v>320844000</v>
      </c>
      <c r="E81" s="676">
        <f t="shared" si="4"/>
        <v>5.5077858046676205E-2</v>
      </c>
      <c r="F81" s="675">
        <f>+B81-D81</f>
        <v>318454000</v>
      </c>
      <c r="G81" s="678">
        <f t="shared" si="14"/>
        <v>0.99255089700913834</v>
      </c>
      <c r="H81" s="670"/>
      <c r="I81" s="670"/>
      <c r="J81" s="670"/>
      <c r="K81" s="670"/>
      <c r="L81" s="603"/>
      <c r="M81" s="661"/>
      <c r="N81" s="661"/>
      <c r="O81" s="661"/>
      <c r="P81" s="661"/>
      <c r="Q81" s="661"/>
      <c r="R81" s="661"/>
      <c r="S81" s="661"/>
      <c r="T81" s="661"/>
      <c r="U81" s="661"/>
      <c r="V81" s="661"/>
      <c r="W81" s="603"/>
      <c r="X81" s="603"/>
      <c r="Y81" s="603"/>
      <c r="Z81" s="603"/>
      <c r="AA81" s="603"/>
      <c r="AB81" s="603"/>
      <c r="AC81" s="603"/>
      <c r="AD81" s="603"/>
      <c r="AE81" s="603"/>
      <c r="AF81" s="603"/>
      <c r="AG81" s="603"/>
      <c r="AH81" s="603"/>
      <c r="AI81" s="603"/>
      <c r="AJ81" s="603"/>
      <c r="AK81" s="603"/>
      <c r="AL81" s="603"/>
      <c r="AM81" s="603"/>
      <c r="AN81" s="603"/>
      <c r="AO81" s="603"/>
      <c r="AP81" s="603"/>
      <c r="AQ81" s="603"/>
      <c r="AR81" s="603"/>
      <c r="AS81" s="603"/>
      <c r="AT81" s="603"/>
      <c r="AU81" s="603"/>
      <c r="AV81" s="603"/>
      <c r="AW81" s="603"/>
      <c r="AX81" s="603"/>
      <c r="AY81" s="603"/>
      <c r="AZ81" s="603"/>
      <c r="BA81" s="603"/>
      <c r="BB81" s="603"/>
      <c r="BC81" s="603"/>
      <c r="BD81" s="603"/>
      <c r="BE81" s="603"/>
      <c r="BF81" s="603"/>
      <c r="BG81" s="603"/>
      <c r="BH81" s="603"/>
      <c r="BI81" s="603"/>
      <c r="BJ81" s="603"/>
      <c r="BK81" s="603"/>
      <c r="BL81" s="603"/>
      <c r="BM81" s="603"/>
      <c r="BN81" s="603"/>
      <c r="BO81" s="603"/>
      <c r="BP81" s="603"/>
      <c r="BQ81" s="603"/>
      <c r="BR81" s="603"/>
      <c r="BS81" s="603"/>
      <c r="BT81" s="603"/>
      <c r="BU81" s="603"/>
      <c r="BV81" s="603"/>
      <c r="BW81" s="603"/>
      <c r="BX81" s="603"/>
      <c r="BY81" s="603"/>
      <c r="BZ81" s="603"/>
      <c r="CA81" s="603"/>
      <c r="CB81" s="603"/>
      <c r="CC81" s="603"/>
      <c r="CD81" s="603"/>
      <c r="CE81" s="603"/>
      <c r="CF81" s="603"/>
      <c r="CG81" s="603"/>
      <c r="CH81" s="603"/>
      <c r="CI81" s="603"/>
      <c r="CJ81" s="603"/>
      <c r="CK81" s="603"/>
      <c r="CL81" s="603"/>
      <c r="CM81" s="603"/>
      <c r="CN81" s="603"/>
      <c r="CO81" s="603"/>
      <c r="CP81" s="603"/>
      <c r="CQ81" s="603"/>
      <c r="CR81" s="603"/>
      <c r="CS81" s="603"/>
      <c r="CT81" s="603"/>
      <c r="CU81" s="603"/>
      <c r="CV81" s="603"/>
      <c r="CW81" s="603"/>
      <c r="CX81" s="603"/>
      <c r="CY81" s="603"/>
      <c r="CZ81" s="603"/>
      <c r="DA81" s="603"/>
      <c r="DB81" s="603"/>
      <c r="DC81" s="603"/>
      <c r="DD81" s="603"/>
      <c r="DE81" s="603"/>
      <c r="DF81" s="603"/>
      <c r="DG81" s="603"/>
      <c r="DH81" s="603"/>
      <c r="DI81" s="603"/>
      <c r="DJ81" s="603"/>
      <c r="DK81" s="603"/>
      <c r="DL81" s="603"/>
      <c r="DM81" s="603"/>
      <c r="DN81" s="603"/>
      <c r="DO81" s="603"/>
      <c r="DP81" s="603"/>
      <c r="DQ81" s="603"/>
      <c r="DR81" s="603"/>
      <c r="DS81" s="603"/>
      <c r="DT81" s="603"/>
      <c r="DU81" s="603"/>
      <c r="DV81" s="603"/>
      <c r="DW81" s="603"/>
      <c r="DX81" s="603"/>
      <c r="DY81" s="603"/>
      <c r="DZ81" s="603"/>
      <c r="EA81" s="603"/>
      <c r="EB81" s="603"/>
      <c r="EC81" s="603"/>
      <c r="ED81" s="603"/>
      <c r="EE81" s="603"/>
      <c r="EF81" s="603"/>
      <c r="EG81" s="603"/>
      <c r="EH81" s="603"/>
      <c r="EI81" s="603"/>
      <c r="EJ81" s="603"/>
      <c r="EK81" s="603"/>
      <c r="EL81" s="603"/>
      <c r="EM81" s="603"/>
      <c r="EN81" s="603"/>
      <c r="EO81" s="603"/>
      <c r="EP81" s="603"/>
      <c r="EQ81" s="603"/>
      <c r="ER81" s="603"/>
      <c r="ES81" s="603"/>
      <c r="ET81" s="603"/>
      <c r="EU81" s="603"/>
      <c r="EV81" s="603"/>
    </row>
    <row r="82" spans="1:152" s="605" customFormat="1" ht="20.100000000000001" customHeight="1">
      <c r="A82" s="684" t="s">
        <v>75</v>
      </c>
      <c r="B82" s="685">
        <f>'예산세출(상담)'!Q215</f>
        <v>20160000</v>
      </c>
      <c r="C82" s="686">
        <f t="shared" si="19"/>
        <v>2.3124904076383761E-3</v>
      </c>
      <c r="D82" s="685">
        <f>'예산세출(상담)'!R215</f>
        <v>11040000</v>
      </c>
      <c r="E82" s="676">
        <f t="shared" si="4"/>
        <v>1.8951875454591804E-3</v>
      </c>
      <c r="F82" s="685">
        <f>+B82-D82</f>
        <v>9120000</v>
      </c>
      <c r="G82" s="640">
        <f t="shared" si="14"/>
        <v>0.82608695652173914</v>
      </c>
      <c r="H82" s="670"/>
      <c r="I82" s="670"/>
      <c r="J82" s="670"/>
      <c r="K82" s="670"/>
      <c r="L82" s="603"/>
      <c r="M82" s="661"/>
      <c r="N82" s="661"/>
      <c r="O82" s="661"/>
      <c r="P82" s="661"/>
      <c r="Q82" s="661"/>
      <c r="R82" s="661"/>
      <c r="S82" s="661"/>
      <c r="T82" s="661"/>
      <c r="U82" s="661"/>
      <c r="V82" s="661"/>
      <c r="W82" s="603"/>
      <c r="X82" s="603"/>
      <c r="Y82" s="603"/>
      <c r="Z82" s="603"/>
      <c r="AA82" s="603"/>
      <c r="AB82" s="603"/>
      <c r="AC82" s="603"/>
      <c r="AD82" s="603"/>
      <c r="AE82" s="603"/>
      <c r="AF82" s="603"/>
      <c r="AG82" s="603"/>
      <c r="AH82" s="603"/>
      <c r="AI82" s="603"/>
      <c r="AJ82" s="603"/>
      <c r="AK82" s="603"/>
      <c r="AL82" s="603"/>
      <c r="AM82" s="603"/>
      <c r="AN82" s="603"/>
      <c r="AO82" s="603"/>
      <c r="AP82" s="603"/>
      <c r="AQ82" s="603"/>
      <c r="AR82" s="603"/>
      <c r="AS82" s="603"/>
      <c r="AT82" s="603"/>
      <c r="AU82" s="603"/>
      <c r="AV82" s="603"/>
      <c r="AW82" s="603"/>
      <c r="AX82" s="603"/>
      <c r="AY82" s="603"/>
      <c r="AZ82" s="603"/>
      <c r="BA82" s="603"/>
      <c r="BB82" s="603"/>
      <c r="BC82" s="603"/>
      <c r="BD82" s="603"/>
      <c r="BE82" s="603"/>
      <c r="BF82" s="603"/>
      <c r="BG82" s="603"/>
      <c r="BH82" s="603"/>
      <c r="BI82" s="603"/>
      <c r="BJ82" s="603"/>
      <c r="BK82" s="603"/>
      <c r="BL82" s="603"/>
      <c r="BM82" s="603"/>
      <c r="BN82" s="603"/>
      <c r="BO82" s="603"/>
      <c r="BP82" s="603"/>
      <c r="BQ82" s="603"/>
      <c r="BR82" s="603"/>
      <c r="BS82" s="603"/>
      <c r="BT82" s="603"/>
      <c r="BU82" s="603"/>
      <c r="BV82" s="603"/>
      <c r="BW82" s="603"/>
      <c r="BX82" s="603"/>
      <c r="BY82" s="603"/>
      <c r="BZ82" s="603"/>
      <c r="CA82" s="603"/>
      <c r="CB82" s="603"/>
      <c r="CC82" s="603"/>
      <c r="CD82" s="603"/>
      <c r="CE82" s="603"/>
      <c r="CF82" s="603"/>
      <c r="CG82" s="603"/>
      <c r="CH82" s="603"/>
      <c r="CI82" s="603"/>
      <c r="CJ82" s="603"/>
      <c r="CK82" s="603"/>
      <c r="CL82" s="603"/>
      <c r="CM82" s="603"/>
      <c r="CN82" s="603"/>
      <c r="CO82" s="603"/>
      <c r="CP82" s="603"/>
      <c r="CQ82" s="603"/>
      <c r="CR82" s="603"/>
      <c r="CS82" s="603"/>
      <c r="CT82" s="603"/>
      <c r="CU82" s="603"/>
      <c r="CV82" s="603"/>
      <c r="CW82" s="603"/>
      <c r="CX82" s="603"/>
      <c r="CY82" s="603"/>
      <c r="CZ82" s="603"/>
      <c r="DA82" s="603"/>
      <c r="DB82" s="603"/>
      <c r="DC82" s="603"/>
      <c r="DD82" s="603"/>
      <c r="DE82" s="603"/>
      <c r="DF82" s="603"/>
      <c r="DG82" s="603"/>
      <c r="DH82" s="603"/>
      <c r="DI82" s="603"/>
      <c r="DJ82" s="603"/>
      <c r="DK82" s="603"/>
      <c r="DL82" s="603"/>
      <c r="DM82" s="603"/>
      <c r="DN82" s="603"/>
      <c r="DO82" s="603"/>
      <c r="DP82" s="603"/>
      <c r="DQ82" s="603"/>
      <c r="DR82" s="603"/>
      <c r="DS82" s="603"/>
      <c r="DT82" s="603"/>
      <c r="DU82" s="603"/>
      <c r="DV82" s="603"/>
      <c r="DW82" s="603"/>
      <c r="DX82" s="603"/>
      <c r="DY82" s="603"/>
      <c r="DZ82" s="603"/>
      <c r="EA82" s="603"/>
      <c r="EB82" s="603"/>
      <c r="EC82" s="603"/>
      <c r="ED82" s="603"/>
      <c r="EE82" s="603"/>
      <c r="EF82" s="603"/>
      <c r="EG82" s="603"/>
      <c r="EH82" s="603"/>
      <c r="EI82" s="603"/>
      <c r="EJ82" s="603"/>
      <c r="EK82" s="603"/>
      <c r="EL82" s="603"/>
      <c r="EM82" s="603"/>
      <c r="EN82" s="603"/>
      <c r="EO82" s="603"/>
      <c r="EP82" s="603"/>
      <c r="EQ82" s="603"/>
      <c r="ER82" s="603"/>
      <c r="ES82" s="603"/>
      <c r="ET82" s="603"/>
      <c r="EU82" s="603"/>
      <c r="EV82" s="603"/>
    </row>
    <row r="83" spans="1:152" s="605" customFormat="1" ht="20.100000000000001" customHeight="1">
      <c r="A83" s="687" t="s">
        <v>2317</v>
      </c>
      <c r="B83" s="688">
        <f>SUM(B84:B95)</f>
        <v>85154000</v>
      </c>
      <c r="C83" s="689">
        <f t="shared" si="19"/>
        <v>9.7677484212320576E-3</v>
      </c>
      <c r="D83" s="688">
        <f>SUM(D84:D95)</f>
        <v>0</v>
      </c>
      <c r="E83" s="689">
        <f t="shared" si="4"/>
        <v>0</v>
      </c>
      <c r="F83" s="688">
        <f>SUM(F84:F95)</f>
        <v>85154000</v>
      </c>
      <c r="G83" s="690">
        <v>1</v>
      </c>
      <c r="H83" s="669"/>
      <c r="I83" s="669"/>
      <c r="J83" s="669"/>
      <c r="K83" s="669"/>
      <c r="L83" s="603"/>
      <c r="M83" s="661"/>
      <c r="N83" s="661"/>
      <c r="O83" s="661"/>
      <c r="P83" s="661"/>
      <c r="Q83" s="661"/>
      <c r="R83" s="661"/>
      <c r="S83" s="661"/>
      <c r="T83" s="661"/>
      <c r="U83" s="661"/>
      <c r="V83" s="661"/>
      <c r="W83" s="603"/>
      <c r="X83" s="603"/>
      <c r="Y83" s="603"/>
      <c r="Z83" s="603"/>
      <c r="AA83" s="603"/>
      <c r="AB83" s="603"/>
      <c r="AC83" s="603"/>
      <c r="AD83" s="603"/>
      <c r="AE83" s="603"/>
      <c r="AF83" s="603"/>
      <c r="AG83" s="603"/>
      <c r="AH83" s="603"/>
      <c r="AI83" s="603"/>
      <c r="AJ83" s="603"/>
      <c r="AK83" s="603"/>
      <c r="AL83" s="603"/>
      <c r="AM83" s="603"/>
      <c r="AN83" s="603"/>
      <c r="AO83" s="603"/>
      <c r="AP83" s="603"/>
      <c r="AQ83" s="603"/>
      <c r="AR83" s="603"/>
      <c r="AS83" s="603"/>
      <c r="AT83" s="603"/>
      <c r="AU83" s="603"/>
      <c r="AV83" s="603"/>
      <c r="AW83" s="603"/>
      <c r="AX83" s="603"/>
      <c r="AY83" s="603"/>
      <c r="AZ83" s="603"/>
      <c r="BA83" s="603"/>
      <c r="BB83" s="603"/>
      <c r="BC83" s="603"/>
      <c r="BD83" s="603"/>
      <c r="BE83" s="603"/>
      <c r="BF83" s="603"/>
      <c r="BG83" s="603"/>
      <c r="BH83" s="603"/>
      <c r="BI83" s="603"/>
      <c r="BJ83" s="603"/>
      <c r="BK83" s="603"/>
      <c r="BL83" s="603"/>
      <c r="BM83" s="603"/>
      <c r="BN83" s="603"/>
      <c r="BO83" s="603"/>
      <c r="BP83" s="603"/>
      <c r="BQ83" s="603"/>
      <c r="BR83" s="603"/>
      <c r="BS83" s="603"/>
      <c r="BT83" s="603"/>
      <c r="BU83" s="603"/>
      <c r="BV83" s="603"/>
      <c r="BW83" s="603"/>
      <c r="BX83" s="603"/>
      <c r="BY83" s="603"/>
      <c r="BZ83" s="603"/>
      <c r="CA83" s="603"/>
      <c r="CB83" s="603"/>
      <c r="CC83" s="603"/>
      <c r="CD83" s="603"/>
      <c r="CE83" s="603"/>
      <c r="CF83" s="603"/>
      <c r="CG83" s="603"/>
      <c r="CH83" s="603"/>
      <c r="CI83" s="603"/>
      <c r="CJ83" s="603"/>
      <c r="CK83" s="603"/>
      <c r="CL83" s="603"/>
      <c r="CM83" s="603"/>
      <c r="CN83" s="603"/>
      <c r="CO83" s="603"/>
      <c r="CP83" s="603"/>
      <c r="CQ83" s="603"/>
      <c r="CR83" s="603"/>
      <c r="CS83" s="603"/>
      <c r="CT83" s="603"/>
      <c r="CU83" s="603"/>
      <c r="CV83" s="603"/>
      <c r="CW83" s="603"/>
      <c r="CX83" s="603"/>
      <c r="CY83" s="603"/>
      <c r="CZ83" s="603"/>
      <c r="DA83" s="603"/>
      <c r="DB83" s="603"/>
      <c r="DC83" s="603"/>
      <c r="DD83" s="603"/>
      <c r="DE83" s="603"/>
      <c r="DF83" s="603"/>
      <c r="DG83" s="603"/>
      <c r="DH83" s="603"/>
      <c r="DI83" s="603"/>
      <c r="DJ83" s="603"/>
      <c r="DK83" s="603"/>
      <c r="DL83" s="603"/>
      <c r="DM83" s="603"/>
      <c r="DN83" s="603"/>
      <c r="DO83" s="603"/>
      <c r="DP83" s="603"/>
      <c r="DQ83" s="603"/>
      <c r="DR83" s="603"/>
      <c r="DS83" s="603"/>
      <c r="DT83" s="603"/>
      <c r="DU83" s="603"/>
      <c r="DV83" s="603"/>
      <c r="DW83" s="603"/>
      <c r="DX83" s="603"/>
      <c r="DY83" s="603"/>
      <c r="DZ83" s="603"/>
      <c r="EA83" s="603"/>
      <c r="EB83" s="603"/>
      <c r="EC83" s="603"/>
      <c r="ED83" s="603"/>
      <c r="EE83" s="603"/>
      <c r="EF83" s="603"/>
      <c r="EG83" s="603"/>
      <c r="EH83" s="603"/>
      <c r="EI83" s="603"/>
      <c r="EJ83" s="603"/>
      <c r="EK83" s="603"/>
      <c r="EL83" s="603"/>
      <c r="EM83" s="603"/>
      <c r="EN83" s="603"/>
      <c r="EO83" s="603"/>
      <c r="EP83" s="603"/>
      <c r="EQ83" s="603"/>
      <c r="ER83" s="603"/>
      <c r="ES83" s="603"/>
      <c r="ET83" s="603"/>
      <c r="EU83" s="603"/>
      <c r="EV83" s="603"/>
    </row>
    <row r="84" spans="1:152" s="605" customFormat="1" ht="20.100000000000001" customHeight="1">
      <c r="A84" s="624" t="s">
        <v>21</v>
      </c>
      <c r="B84" s="675">
        <f>'예산세출(사무국)'!Q237</f>
        <v>720000</v>
      </c>
      <c r="C84" s="676">
        <f t="shared" si="19"/>
        <v>8.2588943129941999E-5</v>
      </c>
      <c r="D84" s="675">
        <f>'예산세출(사무국)'!R237</f>
        <v>0</v>
      </c>
      <c r="E84" s="676">
        <f t="shared" si="4"/>
        <v>0</v>
      </c>
      <c r="F84" s="675">
        <f>+B84-D84</f>
        <v>720000</v>
      </c>
      <c r="G84" s="678">
        <v>1</v>
      </c>
      <c r="H84" s="670"/>
      <c r="I84" s="670"/>
      <c r="J84" s="670"/>
      <c r="K84" s="670"/>
      <c r="L84" s="603"/>
      <c r="M84" s="661"/>
      <c r="N84" s="661"/>
      <c r="O84" s="661"/>
      <c r="P84" s="661"/>
      <c r="Q84" s="661"/>
      <c r="R84" s="661"/>
      <c r="S84" s="661"/>
      <c r="T84" s="661"/>
      <c r="U84" s="661"/>
      <c r="V84" s="661"/>
      <c r="W84" s="603"/>
      <c r="X84" s="603"/>
      <c r="Y84" s="603"/>
      <c r="Z84" s="603"/>
      <c r="AA84" s="603"/>
      <c r="AB84" s="603"/>
      <c r="AC84" s="603"/>
      <c r="AD84" s="603"/>
      <c r="AE84" s="603"/>
      <c r="AF84" s="603"/>
      <c r="AG84" s="603"/>
      <c r="AH84" s="603"/>
      <c r="AI84" s="603"/>
      <c r="AJ84" s="603"/>
      <c r="AK84" s="603"/>
      <c r="AL84" s="603"/>
      <c r="AM84" s="603"/>
      <c r="AN84" s="603"/>
      <c r="AO84" s="603"/>
      <c r="AP84" s="603"/>
      <c r="AQ84" s="603"/>
      <c r="AR84" s="603"/>
      <c r="AS84" s="603"/>
      <c r="AT84" s="603"/>
      <c r="AU84" s="603"/>
      <c r="AV84" s="603"/>
      <c r="AW84" s="603"/>
      <c r="AX84" s="603"/>
      <c r="AY84" s="603"/>
      <c r="AZ84" s="603"/>
      <c r="BA84" s="603"/>
      <c r="BB84" s="603"/>
      <c r="BC84" s="603"/>
      <c r="BD84" s="603"/>
      <c r="BE84" s="603"/>
      <c r="BF84" s="603"/>
      <c r="BG84" s="603"/>
      <c r="BH84" s="603"/>
      <c r="BI84" s="603"/>
      <c r="BJ84" s="603"/>
      <c r="BK84" s="603"/>
      <c r="BL84" s="603"/>
      <c r="BM84" s="603"/>
      <c r="BN84" s="603"/>
      <c r="BO84" s="603"/>
      <c r="BP84" s="603"/>
      <c r="BQ84" s="603"/>
      <c r="BR84" s="603"/>
      <c r="BS84" s="603"/>
      <c r="BT84" s="603"/>
      <c r="BU84" s="603"/>
      <c r="BV84" s="603"/>
      <c r="BW84" s="603"/>
      <c r="BX84" s="603"/>
      <c r="BY84" s="603"/>
      <c r="BZ84" s="603"/>
      <c r="CA84" s="603"/>
      <c r="CB84" s="603"/>
      <c r="CC84" s="603"/>
      <c r="CD84" s="603"/>
      <c r="CE84" s="603"/>
      <c r="CF84" s="603"/>
      <c r="CG84" s="603"/>
      <c r="CH84" s="603"/>
      <c r="CI84" s="603"/>
      <c r="CJ84" s="603"/>
      <c r="CK84" s="603"/>
      <c r="CL84" s="603"/>
      <c r="CM84" s="603"/>
      <c r="CN84" s="603"/>
      <c r="CO84" s="603"/>
      <c r="CP84" s="603"/>
      <c r="CQ84" s="603"/>
      <c r="CR84" s="603"/>
      <c r="CS84" s="603"/>
      <c r="CT84" s="603"/>
      <c r="CU84" s="603"/>
      <c r="CV84" s="603"/>
      <c r="CW84" s="603"/>
      <c r="CX84" s="603"/>
      <c r="CY84" s="603"/>
      <c r="CZ84" s="603"/>
      <c r="DA84" s="603"/>
      <c r="DB84" s="603"/>
      <c r="DC84" s="603"/>
      <c r="DD84" s="603"/>
      <c r="DE84" s="603"/>
      <c r="DF84" s="603"/>
      <c r="DG84" s="603"/>
      <c r="DH84" s="603"/>
      <c r="DI84" s="603"/>
      <c r="DJ84" s="603"/>
      <c r="DK84" s="603"/>
      <c r="DL84" s="603"/>
      <c r="DM84" s="603"/>
      <c r="DN84" s="603"/>
      <c r="DO84" s="603"/>
      <c r="DP84" s="603"/>
      <c r="DQ84" s="603"/>
      <c r="DR84" s="603"/>
      <c r="DS84" s="603"/>
      <c r="DT84" s="603"/>
      <c r="DU84" s="603"/>
      <c r="DV84" s="603"/>
      <c r="DW84" s="603"/>
      <c r="DX84" s="603"/>
      <c r="DY84" s="603"/>
      <c r="DZ84" s="603"/>
      <c r="EA84" s="603"/>
      <c r="EB84" s="603"/>
      <c r="EC84" s="603"/>
      <c r="ED84" s="603"/>
      <c r="EE84" s="603"/>
      <c r="EF84" s="603"/>
      <c r="EG84" s="603"/>
      <c r="EH84" s="603"/>
      <c r="EI84" s="603"/>
      <c r="EJ84" s="603"/>
      <c r="EK84" s="603"/>
      <c r="EL84" s="603"/>
      <c r="EM84" s="603"/>
      <c r="EN84" s="603"/>
      <c r="EO84" s="603"/>
      <c r="EP84" s="603"/>
      <c r="EQ84" s="603"/>
      <c r="ER84" s="603"/>
      <c r="ES84" s="603"/>
      <c r="ET84" s="603"/>
      <c r="EU84" s="603"/>
      <c r="EV84" s="603"/>
    </row>
    <row r="85" spans="1:152" s="605" customFormat="1" ht="20.100000000000001" customHeight="1">
      <c r="A85" s="635" t="s">
        <v>22</v>
      </c>
      <c r="B85" s="685">
        <f>'예산세출(마두)'!Q271</f>
        <v>42243000</v>
      </c>
      <c r="C85" s="686">
        <f t="shared" si="19"/>
        <v>4.845562117552972E-3</v>
      </c>
      <c r="D85" s="685">
        <f>'예산세출(마두)'!R271</f>
        <v>0</v>
      </c>
      <c r="E85" s="676">
        <f>+D85/$D$7</f>
        <v>0</v>
      </c>
      <c r="F85" s="685">
        <f>+B85-D85</f>
        <v>42243000</v>
      </c>
      <c r="G85" s="640">
        <v>1</v>
      </c>
      <c r="H85" s="670"/>
      <c r="I85" s="670"/>
      <c r="J85" s="670"/>
      <c r="K85" s="670"/>
      <c r="L85" s="603"/>
      <c r="M85" s="661"/>
      <c r="N85" s="661"/>
      <c r="O85" s="661"/>
      <c r="P85" s="661"/>
      <c r="Q85" s="661"/>
      <c r="R85" s="661"/>
      <c r="S85" s="661"/>
      <c r="T85" s="661"/>
      <c r="U85" s="661"/>
      <c r="V85" s="661"/>
      <c r="W85" s="603"/>
      <c r="X85" s="603"/>
      <c r="Y85" s="603"/>
      <c r="Z85" s="603"/>
      <c r="AA85" s="603"/>
      <c r="AB85" s="603"/>
      <c r="AC85" s="603"/>
      <c r="AD85" s="603"/>
      <c r="AE85" s="603"/>
      <c r="AF85" s="603"/>
      <c r="AG85" s="603"/>
      <c r="AH85" s="603"/>
      <c r="AI85" s="603"/>
      <c r="AJ85" s="603"/>
      <c r="AK85" s="603"/>
      <c r="AL85" s="603"/>
      <c r="AM85" s="603"/>
      <c r="AN85" s="603"/>
      <c r="AO85" s="603"/>
      <c r="AP85" s="603"/>
      <c r="AQ85" s="603"/>
      <c r="AR85" s="603"/>
      <c r="AS85" s="603"/>
      <c r="AT85" s="603"/>
      <c r="AU85" s="603"/>
      <c r="AV85" s="603"/>
      <c r="AW85" s="603"/>
      <c r="AX85" s="603"/>
      <c r="AY85" s="603"/>
      <c r="AZ85" s="603"/>
      <c r="BA85" s="603"/>
      <c r="BB85" s="603"/>
      <c r="BC85" s="603"/>
      <c r="BD85" s="603"/>
      <c r="BE85" s="603"/>
      <c r="BF85" s="603"/>
      <c r="BG85" s="603"/>
      <c r="BH85" s="603"/>
      <c r="BI85" s="603"/>
      <c r="BJ85" s="603"/>
      <c r="BK85" s="603"/>
      <c r="BL85" s="603"/>
      <c r="BM85" s="603"/>
      <c r="BN85" s="603"/>
      <c r="BO85" s="603"/>
      <c r="BP85" s="603"/>
      <c r="BQ85" s="603"/>
      <c r="BR85" s="603"/>
      <c r="BS85" s="603"/>
      <c r="BT85" s="603"/>
      <c r="BU85" s="603"/>
      <c r="BV85" s="603"/>
      <c r="BW85" s="603"/>
      <c r="BX85" s="603"/>
      <c r="BY85" s="603"/>
      <c r="BZ85" s="603"/>
      <c r="CA85" s="603"/>
      <c r="CB85" s="603"/>
      <c r="CC85" s="603"/>
      <c r="CD85" s="603"/>
      <c r="CE85" s="603"/>
      <c r="CF85" s="603"/>
      <c r="CG85" s="603"/>
      <c r="CH85" s="603"/>
      <c r="CI85" s="603"/>
      <c r="CJ85" s="603"/>
      <c r="CK85" s="603"/>
      <c r="CL85" s="603"/>
      <c r="CM85" s="603"/>
      <c r="CN85" s="603"/>
      <c r="CO85" s="603"/>
      <c r="CP85" s="603"/>
      <c r="CQ85" s="603"/>
      <c r="CR85" s="603"/>
      <c r="CS85" s="603"/>
      <c r="CT85" s="603"/>
      <c r="CU85" s="603"/>
      <c r="CV85" s="603"/>
      <c r="CW85" s="603"/>
      <c r="CX85" s="603"/>
      <c r="CY85" s="603"/>
      <c r="CZ85" s="603"/>
      <c r="DA85" s="603"/>
      <c r="DB85" s="603"/>
      <c r="DC85" s="603"/>
      <c r="DD85" s="603"/>
      <c r="DE85" s="603"/>
      <c r="DF85" s="603"/>
      <c r="DG85" s="603"/>
      <c r="DH85" s="603"/>
      <c r="DI85" s="603"/>
      <c r="DJ85" s="603"/>
      <c r="DK85" s="603"/>
      <c r="DL85" s="603"/>
      <c r="DM85" s="603"/>
      <c r="DN85" s="603"/>
      <c r="DO85" s="603"/>
      <c r="DP85" s="603"/>
      <c r="DQ85" s="603"/>
      <c r="DR85" s="603"/>
      <c r="DS85" s="603"/>
      <c r="DT85" s="603"/>
      <c r="DU85" s="603"/>
      <c r="DV85" s="603"/>
      <c r="DW85" s="603"/>
      <c r="DX85" s="603"/>
      <c r="DY85" s="603"/>
      <c r="DZ85" s="603"/>
      <c r="EA85" s="603"/>
      <c r="EB85" s="603"/>
      <c r="EC85" s="603"/>
      <c r="ED85" s="603"/>
      <c r="EE85" s="603"/>
      <c r="EF85" s="603"/>
      <c r="EG85" s="603"/>
      <c r="EH85" s="603"/>
      <c r="EI85" s="603"/>
      <c r="EJ85" s="603"/>
      <c r="EK85" s="603"/>
      <c r="EL85" s="603"/>
      <c r="EM85" s="603"/>
      <c r="EN85" s="603"/>
      <c r="EO85" s="603"/>
      <c r="EP85" s="603"/>
      <c r="EQ85" s="603"/>
      <c r="ER85" s="603"/>
      <c r="ES85" s="603"/>
      <c r="ET85" s="603"/>
      <c r="EU85" s="603"/>
      <c r="EV85" s="603"/>
    </row>
    <row r="86" spans="1:152" s="605" customFormat="1" ht="20.100000000000001" customHeight="1">
      <c r="A86" s="635" t="s">
        <v>23</v>
      </c>
      <c r="B86" s="685">
        <f>'예산세출(진로)'!Q156</f>
        <v>240000</v>
      </c>
      <c r="C86" s="686">
        <f t="shared" si="19"/>
        <v>2.7529647709980668E-5</v>
      </c>
      <c r="D86" s="685">
        <f>'예산세출(진로)'!R156</f>
        <v>0</v>
      </c>
      <c r="E86" s="676">
        <f t="shared" ref="E86:E94" si="20">+D86/$D$7</f>
        <v>0</v>
      </c>
      <c r="F86" s="685">
        <f t="shared" ref="F86:F95" si="21">+B86-D86</f>
        <v>240000</v>
      </c>
      <c r="G86" s="640">
        <v>1</v>
      </c>
      <c r="H86" s="670"/>
      <c r="I86" s="670"/>
      <c r="J86" s="670"/>
      <c r="K86" s="670"/>
      <c r="L86" s="603"/>
      <c r="M86" s="661"/>
      <c r="N86" s="661"/>
      <c r="O86" s="661"/>
      <c r="P86" s="661"/>
      <c r="Q86" s="661"/>
      <c r="R86" s="661"/>
      <c r="S86" s="661"/>
      <c r="T86" s="661"/>
      <c r="U86" s="661"/>
      <c r="V86" s="661"/>
      <c r="W86" s="603"/>
      <c r="X86" s="603"/>
      <c r="Y86" s="603"/>
      <c r="Z86" s="603"/>
      <c r="AA86" s="603"/>
      <c r="AB86" s="603"/>
      <c r="AC86" s="603"/>
      <c r="AD86" s="603"/>
      <c r="AE86" s="603"/>
      <c r="AF86" s="603"/>
      <c r="AG86" s="603"/>
      <c r="AH86" s="603"/>
      <c r="AI86" s="603"/>
      <c r="AJ86" s="603"/>
      <c r="AK86" s="603"/>
      <c r="AL86" s="603"/>
      <c r="AM86" s="603"/>
      <c r="AN86" s="603"/>
      <c r="AO86" s="603"/>
      <c r="AP86" s="603"/>
      <c r="AQ86" s="603"/>
      <c r="AR86" s="603"/>
      <c r="AS86" s="603"/>
      <c r="AT86" s="603"/>
      <c r="AU86" s="603"/>
      <c r="AV86" s="603"/>
      <c r="AW86" s="603"/>
      <c r="AX86" s="603"/>
      <c r="AY86" s="603"/>
      <c r="AZ86" s="603"/>
      <c r="BA86" s="603"/>
      <c r="BB86" s="603"/>
      <c r="BC86" s="603"/>
      <c r="BD86" s="603"/>
      <c r="BE86" s="603"/>
      <c r="BF86" s="603"/>
      <c r="BG86" s="603"/>
      <c r="BH86" s="603"/>
      <c r="BI86" s="603"/>
      <c r="BJ86" s="603"/>
      <c r="BK86" s="603"/>
      <c r="BL86" s="603"/>
      <c r="BM86" s="603"/>
      <c r="BN86" s="603"/>
      <c r="BO86" s="603"/>
      <c r="BP86" s="603"/>
      <c r="BQ86" s="603"/>
      <c r="BR86" s="603"/>
      <c r="BS86" s="603"/>
      <c r="BT86" s="603"/>
      <c r="BU86" s="603"/>
      <c r="BV86" s="603"/>
      <c r="BW86" s="603"/>
      <c r="BX86" s="603"/>
      <c r="BY86" s="603"/>
      <c r="BZ86" s="603"/>
      <c r="CA86" s="603"/>
      <c r="CB86" s="603"/>
      <c r="CC86" s="603"/>
      <c r="CD86" s="603"/>
      <c r="CE86" s="603"/>
      <c r="CF86" s="603"/>
      <c r="CG86" s="603"/>
      <c r="CH86" s="603"/>
      <c r="CI86" s="603"/>
      <c r="CJ86" s="603"/>
      <c r="CK86" s="603"/>
      <c r="CL86" s="603"/>
      <c r="CM86" s="603"/>
      <c r="CN86" s="603"/>
      <c r="CO86" s="603"/>
      <c r="CP86" s="603"/>
      <c r="CQ86" s="603"/>
      <c r="CR86" s="603"/>
      <c r="CS86" s="603"/>
      <c r="CT86" s="603"/>
      <c r="CU86" s="603"/>
      <c r="CV86" s="603"/>
      <c r="CW86" s="603"/>
      <c r="CX86" s="603"/>
      <c r="CY86" s="603"/>
      <c r="CZ86" s="603"/>
      <c r="DA86" s="603"/>
      <c r="DB86" s="603"/>
      <c r="DC86" s="603"/>
      <c r="DD86" s="603"/>
      <c r="DE86" s="603"/>
      <c r="DF86" s="603"/>
      <c r="DG86" s="603"/>
      <c r="DH86" s="603"/>
      <c r="DI86" s="603"/>
      <c r="DJ86" s="603"/>
      <c r="DK86" s="603"/>
      <c r="DL86" s="603"/>
      <c r="DM86" s="603"/>
      <c r="DN86" s="603"/>
      <c r="DO86" s="603"/>
      <c r="DP86" s="603"/>
      <c r="DQ86" s="603"/>
      <c r="DR86" s="603"/>
      <c r="DS86" s="603"/>
      <c r="DT86" s="603"/>
      <c r="DU86" s="603"/>
      <c r="DV86" s="603"/>
      <c r="DW86" s="603"/>
      <c r="DX86" s="603"/>
      <c r="DY86" s="603"/>
      <c r="DZ86" s="603"/>
      <c r="EA86" s="603"/>
      <c r="EB86" s="603"/>
      <c r="EC86" s="603"/>
      <c r="ED86" s="603"/>
      <c r="EE86" s="603"/>
      <c r="EF86" s="603"/>
      <c r="EG86" s="603"/>
      <c r="EH86" s="603"/>
      <c r="EI86" s="603"/>
      <c r="EJ86" s="603"/>
      <c r="EK86" s="603"/>
      <c r="EL86" s="603"/>
      <c r="EM86" s="603"/>
      <c r="EN86" s="603"/>
      <c r="EO86" s="603"/>
      <c r="EP86" s="603"/>
      <c r="EQ86" s="603"/>
      <c r="ER86" s="603"/>
      <c r="ES86" s="603"/>
      <c r="ET86" s="603"/>
      <c r="EU86" s="603"/>
      <c r="EV86" s="603"/>
    </row>
    <row r="87" spans="1:152" s="605" customFormat="1" ht="20.100000000000001" customHeight="1">
      <c r="A87" s="635" t="s">
        <v>24</v>
      </c>
      <c r="B87" s="685">
        <f>'예산세출(성사)'!R200</f>
        <v>10000000</v>
      </c>
      <c r="C87" s="686">
        <f t="shared" si="19"/>
        <v>1.1470686545825277E-3</v>
      </c>
      <c r="D87" s="685">
        <f>'예산세출(성사)'!S200</f>
        <v>0</v>
      </c>
      <c r="E87" s="686">
        <f t="shared" si="20"/>
        <v>0</v>
      </c>
      <c r="F87" s="685">
        <f t="shared" si="21"/>
        <v>10000000</v>
      </c>
      <c r="G87" s="640">
        <v>1</v>
      </c>
      <c r="H87" s="670"/>
      <c r="I87" s="670"/>
      <c r="J87" s="670"/>
      <c r="K87" s="670"/>
      <c r="L87" s="603"/>
      <c r="M87" s="661"/>
      <c r="N87" s="661"/>
      <c r="O87" s="661"/>
      <c r="P87" s="661"/>
      <c r="Q87" s="661"/>
      <c r="R87" s="661"/>
      <c r="S87" s="661"/>
      <c r="T87" s="661"/>
      <c r="U87" s="661"/>
      <c r="V87" s="661"/>
      <c r="W87" s="603"/>
      <c r="X87" s="603"/>
      <c r="Y87" s="603"/>
      <c r="Z87" s="603"/>
      <c r="AA87" s="603"/>
      <c r="AB87" s="603"/>
      <c r="AC87" s="603"/>
      <c r="AD87" s="603"/>
      <c r="AE87" s="603"/>
      <c r="AF87" s="603"/>
      <c r="AG87" s="603"/>
      <c r="AH87" s="603"/>
      <c r="AI87" s="603"/>
      <c r="AJ87" s="603"/>
      <c r="AK87" s="603"/>
      <c r="AL87" s="603"/>
      <c r="AM87" s="603"/>
      <c r="AN87" s="603"/>
      <c r="AO87" s="603"/>
      <c r="AP87" s="603"/>
      <c r="AQ87" s="603"/>
      <c r="AR87" s="603"/>
      <c r="AS87" s="603"/>
      <c r="AT87" s="603"/>
      <c r="AU87" s="603"/>
      <c r="AV87" s="603"/>
      <c r="AW87" s="603"/>
      <c r="AX87" s="603"/>
      <c r="AY87" s="603"/>
      <c r="AZ87" s="603"/>
      <c r="BA87" s="603"/>
      <c r="BB87" s="603"/>
      <c r="BC87" s="603"/>
      <c r="BD87" s="603"/>
      <c r="BE87" s="603"/>
      <c r="BF87" s="603"/>
      <c r="BG87" s="603"/>
      <c r="BH87" s="603"/>
      <c r="BI87" s="603"/>
      <c r="BJ87" s="603"/>
      <c r="BK87" s="603"/>
      <c r="BL87" s="603"/>
      <c r="BM87" s="603"/>
      <c r="BN87" s="603"/>
      <c r="BO87" s="603"/>
      <c r="BP87" s="603"/>
      <c r="BQ87" s="603"/>
      <c r="BR87" s="603"/>
      <c r="BS87" s="603"/>
      <c r="BT87" s="603"/>
      <c r="BU87" s="603"/>
      <c r="BV87" s="603"/>
      <c r="BW87" s="603"/>
      <c r="BX87" s="603"/>
      <c r="BY87" s="603"/>
      <c r="BZ87" s="603"/>
      <c r="CA87" s="603"/>
      <c r="CB87" s="603"/>
      <c r="CC87" s="603"/>
      <c r="CD87" s="603"/>
      <c r="CE87" s="603"/>
      <c r="CF87" s="603"/>
      <c r="CG87" s="603"/>
      <c r="CH87" s="603"/>
      <c r="CI87" s="603"/>
      <c r="CJ87" s="603"/>
      <c r="CK87" s="603"/>
      <c r="CL87" s="603"/>
      <c r="CM87" s="603"/>
      <c r="CN87" s="603"/>
      <c r="CO87" s="603"/>
      <c r="CP87" s="603"/>
      <c r="CQ87" s="603"/>
      <c r="CR87" s="603"/>
      <c r="CS87" s="603"/>
      <c r="CT87" s="603"/>
      <c r="CU87" s="603"/>
      <c r="CV87" s="603"/>
      <c r="CW87" s="603"/>
      <c r="CX87" s="603"/>
      <c r="CY87" s="603"/>
      <c r="CZ87" s="603"/>
      <c r="DA87" s="603"/>
      <c r="DB87" s="603"/>
      <c r="DC87" s="603"/>
      <c r="DD87" s="603"/>
      <c r="DE87" s="603"/>
      <c r="DF87" s="603"/>
      <c r="DG87" s="603"/>
      <c r="DH87" s="603"/>
      <c r="DI87" s="603"/>
      <c r="DJ87" s="603"/>
      <c r="DK87" s="603"/>
      <c r="DL87" s="603"/>
      <c r="DM87" s="603"/>
      <c r="DN87" s="603"/>
      <c r="DO87" s="603"/>
      <c r="DP87" s="603"/>
      <c r="DQ87" s="603"/>
      <c r="DR87" s="603"/>
      <c r="DS87" s="603"/>
      <c r="DT87" s="603"/>
      <c r="DU87" s="603"/>
      <c r="DV87" s="603"/>
      <c r="DW87" s="603"/>
      <c r="DX87" s="603"/>
      <c r="DY87" s="603"/>
      <c r="DZ87" s="603"/>
      <c r="EA87" s="603"/>
      <c r="EB87" s="603"/>
      <c r="EC87" s="603"/>
      <c r="ED87" s="603"/>
      <c r="EE87" s="603"/>
      <c r="EF87" s="603"/>
      <c r="EG87" s="603"/>
      <c r="EH87" s="603"/>
      <c r="EI87" s="603"/>
      <c r="EJ87" s="603"/>
      <c r="EK87" s="603"/>
      <c r="EL87" s="603"/>
      <c r="EM87" s="603"/>
      <c r="EN87" s="603"/>
      <c r="EO87" s="603"/>
      <c r="EP87" s="603"/>
      <c r="EQ87" s="603"/>
      <c r="ER87" s="603"/>
      <c r="ES87" s="603"/>
      <c r="ET87" s="603"/>
      <c r="EU87" s="603"/>
      <c r="EV87" s="603"/>
    </row>
    <row r="88" spans="1:152" s="605" customFormat="1" ht="20.100000000000001" customHeight="1">
      <c r="A88" s="635" t="s">
        <v>25</v>
      </c>
      <c r="B88" s="685">
        <f>'예산세출(탄현)'!Q269</f>
        <v>1000000</v>
      </c>
      <c r="C88" s="686">
        <f t="shared" si="19"/>
        <v>1.1470686545825278E-4</v>
      </c>
      <c r="D88" s="685">
        <f>'예산세출(탄현)'!R269</f>
        <v>0</v>
      </c>
      <c r="E88" s="676">
        <f t="shared" si="20"/>
        <v>0</v>
      </c>
      <c r="F88" s="685">
        <f t="shared" si="21"/>
        <v>1000000</v>
      </c>
      <c r="G88" s="640">
        <v>1</v>
      </c>
      <c r="H88" s="670"/>
      <c r="I88" s="670"/>
      <c r="J88" s="670"/>
      <c r="K88" s="670"/>
      <c r="L88" s="603"/>
      <c r="M88" s="661"/>
      <c r="N88" s="661"/>
      <c r="O88" s="661"/>
      <c r="P88" s="661"/>
      <c r="Q88" s="661"/>
      <c r="R88" s="661"/>
      <c r="S88" s="661"/>
      <c r="T88" s="661"/>
      <c r="U88" s="661"/>
      <c r="V88" s="661"/>
      <c r="W88" s="603"/>
      <c r="X88" s="603"/>
      <c r="Y88" s="603"/>
      <c r="Z88" s="603"/>
      <c r="AA88" s="603"/>
      <c r="AB88" s="603"/>
      <c r="AC88" s="603"/>
      <c r="AD88" s="603"/>
      <c r="AE88" s="603"/>
      <c r="AF88" s="603"/>
      <c r="AG88" s="603"/>
      <c r="AH88" s="603"/>
      <c r="AI88" s="603"/>
      <c r="AJ88" s="603"/>
      <c r="AK88" s="603"/>
      <c r="AL88" s="603"/>
      <c r="AM88" s="603"/>
      <c r="AN88" s="603"/>
      <c r="AO88" s="603"/>
      <c r="AP88" s="603"/>
      <c r="AQ88" s="603"/>
      <c r="AR88" s="603"/>
      <c r="AS88" s="603"/>
      <c r="AT88" s="603"/>
      <c r="AU88" s="603"/>
      <c r="AV88" s="603"/>
      <c r="AW88" s="603"/>
      <c r="AX88" s="603"/>
      <c r="AY88" s="603"/>
      <c r="AZ88" s="603"/>
      <c r="BA88" s="603"/>
      <c r="BB88" s="603"/>
      <c r="BC88" s="603"/>
      <c r="BD88" s="603"/>
      <c r="BE88" s="603"/>
      <c r="BF88" s="603"/>
      <c r="BG88" s="603"/>
      <c r="BH88" s="603"/>
      <c r="BI88" s="603"/>
      <c r="BJ88" s="603"/>
      <c r="BK88" s="603"/>
      <c r="BL88" s="603"/>
      <c r="BM88" s="603"/>
      <c r="BN88" s="603"/>
      <c r="BO88" s="603"/>
      <c r="BP88" s="603"/>
      <c r="BQ88" s="603"/>
      <c r="BR88" s="603"/>
      <c r="BS88" s="603"/>
      <c r="BT88" s="603"/>
      <c r="BU88" s="603"/>
      <c r="BV88" s="603"/>
      <c r="BW88" s="603"/>
      <c r="BX88" s="603"/>
      <c r="BY88" s="603"/>
      <c r="BZ88" s="603"/>
      <c r="CA88" s="603"/>
      <c r="CB88" s="603"/>
      <c r="CC88" s="603"/>
      <c r="CD88" s="603"/>
      <c r="CE88" s="603"/>
      <c r="CF88" s="603"/>
      <c r="CG88" s="603"/>
      <c r="CH88" s="603"/>
      <c r="CI88" s="603"/>
      <c r="CJ88" s="603"/>
      <c r="CK88" s="603"/>
      <c r="CL88" s="603"/>
      <c r="CM88" s="603"/>
      <c r="CN88" s="603"/>
      <c r="CO88" s="603"/>
      <c r="CP88" s="603"/>
      <c r="CQ88" s="603"/>
      <c r="CR88" s="603"/>
      <c r="CS88" s="603"/>
      <c r="CT88" s="603"/>
      <c r="CU88" s="603"/>
      <c r="CV88" s="603"/>
      <c r="CW88" s="603"/>
      <c r="CX88" s="603"/>
      <c r="CY88" s="603"/>
      <c r="CZ88" s="603"/>
      <c r="DA88" s="603"/>
      <c r="DB88" s="603"/>
      <c r="DC88" s="603"/>
      <c r="DD88" s="603"/>
      <c r="DE88" s="603"/>
      <c r="DF88" s="603"/>
      <c r="DG88" s="603"/>
      <c r="DH88" s="603"/>
      <c r="DI88" s="603"/>
      <c r="DJ88" s="603"/>
      <c r="DK88" s="603"/>
      <c r="DL88" s="603"/>
      <c r="DM88" s="603"/>
      <c r="DN88" s="603"/>
      <c r="DO88" s="603"/>
      <c r="DP88" s="603"/>
      <c r="DQ88" s="603"/>
      <c r="DR88" s="603"/>
      <c r="DS88" s="603"/>
      <c r="DT88" s="603"/>
      <c r="DU88" s="603"/>
      <c r="DV88" s="603"/>
      <c r="DW88" s="603"/>
      <c r="DX88" s="603"/>
      <c r="DY88" s="603"/>
      <c r="DZ88" s="603"/>
      <c r="EA88" s="603"/>
      <c r="EB88" s="603"/>
      <c r="EC88" s="603"/>
      <c r="ED88" s="603"/>
      <c r="EE88" s="603"/>
      <c r="EF88" s="603"/>
      <c r="EG88" s="603"/>
      <c r="EH88" s="603"/>
      <c r="EI88" s="603"/>
      <c r="EJ88" s="603"/>
      <c r="EK88" s="603"/>
      <c r="EL88" s="603"/>
      <c r="EM88" s="603"/>
      <c r="EN88" s="603"/>
      <c r="EO88" s="603"/>
      <c r="EP88" s="603"/>
      <c r="EQ88" s="603"/>
      <c r="ER88" s="603"/>
      <c r="ES88" s="603"/>
      <c r="ET88" s="603"/>
      <c r="EU88" s="603"/>
      <c r="EV88" s="603"/>
    </row>
    <row r="89" spans="1:152" s="605" customFormat="1" ht="20.100000000000001" customHeight="1">
      <c r="A89" s="635" t="s">
        <v>2130</v>
      </c>
      <c r="B89" s="685">
        <f>'예산세출(주교)'!Q107</f>
        <v>20000</v>
      </c>
      <c r="C89" s="686">
        <f t="shared" si="19"/>
        <v>2.2941373091650557E-6</v>
      </c>
      <c r="D89" s="685">
        <f>'예산세출(주교)'!R107</f>
        <v>0</v>
      </c>
      <c r="E89" s="676">
        <f t="shared" si="20"/>
        <v>0</v>
      </c>
      <c r="F89" s="685">
        <f t="shared" si="21"/>
        <v>20000</v>
      </c>
      <c r="G89" s="640">
        <v>1</v>
      </c>
      <c r="H89" s="670"/>
      <c r="I89" s="670"/>
      <c r="J89" s="670"/>
      <c r="K89" s="670"/>
      <c r="L89" s="603"/>
      <c r="M89" s="661"/>
      <c r="N89" s="661"/>
      <c r="O89" s="661"/>
      <c r="P89" s="661"/>
      <c r="Q89" s="661"/>
      <c r="R89" s="661"/>
      <c r="S89" s="661"/>
      <c r="T89" s="661"/>
      <c r="U89" s="661"/>
      <c r="V89" s="661"/>
      <c r="W89" s="603"/>
      <c r="X89" s="603"/>
      <c r="Y89" s="603"/>
      <c r="Z89" s="603"/>
      <c r="AA89" s="603"/>
      <c r="AB89" s="603"/>
      <c r="AC89" s="603"/>
      <c r="AD89" s="603"/>
      <c r="AE89" s="603"/>
      <c r="AF89" s="603"/>
      <c r="AG89" s="603"/>
      <c r="AH89" s="603"/>
      <c r="AI89" s="603"/>
      <c r="AJ89" s="603"/>
      <c r="AK89" s="603"/>
      <c r="AL89" s="603"/>
      <c r="AM89" s="603"/>
      <c r="AN89" s="603"/>
      <c r="AO89" s="603"/>
      <c r="AP89" s="603"/>
      <c r="AQ89" s="603"/>
      <c r="AR89" s="603"/>
      <c r="AS89" s="603"/>
      <c r="AT89" s="603"/>
      <c r="AU89" s="603"/>
      <c r="AV89" s="603"/>
      <c r="AW89" s="603"/>
      <c r="AX89" s="603"/>
      <c r="AY89" s="603"/>
      <c r="AZ89" s="603"/>
      <c r="BA89" s="603"/>
      <c r="BB89" s="603"/>
      <c r="BC89" s="603"/>
      <c r="BD89" s="603"/>
      <c r="BE89" s="603"/>
      <c r="BF89" s="603"/>
      <c r="BG89" s="603"/>
      <c r="BH89" s="603"/>
      <c r="BI89" s="603"/>
      <c r="BJ89" s="603"/>
      <c r="BK89" s="603"/>
      <c r="BL89" s="603"/>
      <c r="BM89" s="603"/>
      <c r="BN89" s="603"/>
      <c r="BO89" s="603"/>
      <c r="BP89" s="603"/>
      <c r="BQ89" s="603"/>
      <c r="BR89" s="603"/>
      <c r="BS89" s="603"/>
      <c r="BT89" s="603"/>
      <c r="BU89" s="603"/>
      <c r="BV89" s="603"/>
      <c r="BW89" s="603"/>
      <c r="BX89" s="603"/>
      <c r="BY89" s="603"/>
      <c r="BZ89" s="603"/>
      <c r="CA89" s="603"/>
      <c r="CB89" s="603"/>
      <c r="CC89" s="603"/>
      <c r="CD89" s="603"/>
      <c r="CE89" s="603"/>
      <c r="CF89" s="603"/>
      <c r="CG89" s="603"/>
      <c r="CH89" s="603"/>
      <c r="CI89" s="603"/>
      <c r="CJ89" s="603"/>
      <c r="CK89" s="603"/>
      <c r="CL89" s="603"/>
      <c r="CM89" s="603"/>
      <c r="CN89" s="603"/>
      <c r="CO89" s="603"/>
      <c r="CP89" s="603"/>
      <c r="CQ89" s="603"/>
      <c r="CR89" s="603"/>
      <c r="CS89" s="603"/>
      <c r="CT89" s="603"/>
      <c r="CU89" s="603"/>
      <c r="CV89" s="603"/>
      <c r="CW89" s="603"/>
      <c r="CX89" s="603"/>
      <c r="CY89" s="603"/>
      <c r="CZ89" s="603"/>
      <c r="DA89" s="603"/>
      <c r="DB89" s="603"/>
      <c r="DC89" s="603"/>
      <c r="DD89" s="603"/>
      <c r="DE89" s="603"/>
      <c r="DF89" s="603"/>
      <c r="DG89" s="603"/>
      <c r="DH89" s="603"/>
      <c r="DI89" s="603"/>
      <c r="DJ89" s="603"/>
      <c r="DK89" s="603"/>
      <c r="DL89" s="603"/>
      <c r="DM89" s="603"/>
      <c r="DN89" s="603"/>
      <c r="DO89" s="603"/>
      <c r="DP89" s="603"/>
      <c r="DQ89" s="603"/>
      <c r="DR89" s="603"/>
      <c r="DS89" s="603"/>
      <c r="DT89" s="603"/>
      <c r="DU89" s="603"/>
      <c r="DV89" s="603"/>
      <c r="DW89" s="603"/>
      <c r="DX89" s="603"/>
      <c r="DY89" s="603"/>
      <c r="DZ89" s="603"/>
      <c r="EA89" s="603"/>
      <c r="EB89" s="603"/>
      <c r="EC89" s="603"/>
      <c r="ED89" s="603"/>
      <c r="EE89" s="603"/>
      <c r="EF89" s="603"/>
      <c r="EG89" s="603"/>
      <c r="EH89" s="603"/>
      <c r="EI89" s="603"/>
      <c r="EJ89" s="603"/>
      <c r="EK89" s="603"/>
      <c r="EL89" s="603"/>
      <c r="EM89" s="603"/>
      <c r="EN89" s="603"/>
      <c r="EO89" s="603"/>
      <c r="EP89" s="603"/>
      <c r="EQ89" s="603"/>
      <c r="ER89" s="603"/>
      <c r="ES89" s="603"/>
      <c r="ET89" s="603"/>
      <c r="EU89" s="603"/>
      <c r="EV89" s="603"/>
    </row>
    <row r="90" spans="1:152" s="605" customFormat="1" ht="20.100000000000001" customHeight="1">
      <c r="A90" s="624" t="s">
        <v>2131</v>
      </c>
      <c r="B90" s="675">
        <v>0</v>
      </c>
      <c r="C90" s="676">
        <f>+B90/$B$7</f>
        <v>0</v>
      </c>
      <c r="D90" s="675">
        <v>0</v>
      </c>
      <c r="E90" s="676">
        <f t="shared" si="20"/>
        <v>0</v>
      </c>
      <c r="F90" s="675">
        <f t="shared" si="21"/>
        <v>0</v>
      </c>
      <c r="G90" s="678">
        <v>1</v>
      </c>
      <c r="H90" s="670"/>
      <c r="I90" s="670"/>
      <c r="J90" s="670"/>
      <c r="K90" s="670"/>
      <c r="L90" s="603"/>
      <c r="M90" s="661"/>
      <c r="N90" s="661"/>
      <c r="O90" s="661"/>
      <c r="P90" s="661"/>
      <c r="Q90" s="661"/>
      <c r="R90" s="661"/>
      <c r="S90" s="661"/>
      <c r="T90" s="661"/>
      <c r="U90" s="661"/>
      <c r="V90" s="661"/>
      <c r="W90" s="603"/>
      <c r="X90" s="603"/>
      <c r="Y90" s="603"/>
      <c r="Z90" s="603"/>
      <c r="AA90" s="603"/>
      <c r="AB90" s="603"/>
      <c r="AC90" s="603"/>
      <c r="AD90" s="603"/>
      <c r="AE90" s="603"/>
      <c r="AF90" s="603"/>
      <c r="AG90" s="603"/>
      <c r="AH90" s="603"/>
      <c r="AI90" s="603"/>
      <c r="AJ90" s="603"/>
      <c r="AK90" s="603"/>
      <c r="AL90" s="603"/>
      <c r="AM90" s="603"/>
      <c r="AN90" s="603"/>
      <c r="AO90" s="603"/>
      <c r="AP90" s="603"/>
      <c r="AQ90" s="603"/>
      <c r="AR90" s="603"/>
      <c r="AS90" s="603"/>
      <c r="AT90" s="603"/>
      <c r="AU90" s="603"/>
      <c r="AV90" s="603"/>
      <c r="AW90" s="603"/>
      <c r="AX90" s="603"/>
      <c r="AY90" s="603"/>
      <c r="AZ90" s="603"/>
      <c r="BA90" s="603"/>
      <c r="BB90" s="603"/>
      <c r="BC90" s="603"/>
      <c r="BD90" s="603"/>
      <c r="BE90" s="603"/>
      <c r="BF90" s="603"/>
      <c r="BG90" s="603"/>
      <c r="BH90" s="603"/>
      <c r="BI90" s="603"/>
      <c r="BJ90" s="603"/>
      <c r="BK90" s="603"/>
      <c r="BL90" s="603"/>
      <c r="BM90" s="603"/>
      <c r="BN90" s="603"/>
      <c r="BO90" s="603"/>
      <c r="BP90" s="603"/>
      <c r="BQ90" s="603"/>
      <c r="BR90" s="603"/>
      <c r="BS90" s="603"/>
      <c r="BT90" s="603"/>
      <c r="BU90" s="603"/>
      <c r="BV90" s="603"/>
      <c r="BW90" s="603"/>
      <c r="BX90" s="603"/>
      <c r="BY90" s="603"/>
      <c r="BZ90" s="603"/>
      <c r="CA90" s="603"/>
      <c r="CB90" s="603"/>
      <c r="CC90" s="603"/>
      <c r="CD90" s="603"/>
      <c r="CE90" s="603"/>
      <c r="CF90" s="603"/>
      <c r="CG90" s="603"/>
      <c r="CH90" s="603"/>
      <c r="CI90" s="603"/>
      <c r="CJ90" s="603"/>
      <c r="CK90" s="603"/>
      <c r="CL90" s="603"/>
      <c r="CM90" s="603"/>
      <c r="CN90" s="603"/>
      <c r="CO90" s="603"/>
      <c r="CP90" s="603"/>
      <c r="CQ90" s="603"/>
      <c r="CR90" s="603"/>
      <c r="CS90" s="603"/>
      <c r="CT90" s="603"/>
      <c r="CU90" s="603"/>
      <c r="CV90" s="603"/>
      <c r="CW90" s="603"/>
      <c r="CX90" s="603"/>
      <c r="CY90" s="603"/>
      <c r="CZ90" s="603"/>
      <c r="DA90" s="603"/>
      <c r="DB90" s="603"/>
      <c r="DC90" s="603"/>
      <c r="DD90" s="603"/>
      <c r="DE90" s="603"/>
      <c r="DF90" s="603"/>
      <c r="DG90" s="603"/>
      <c r="DH90" s="603"/>
      <c r="DI90" s="603"/>
      <c r="DJ90" s="603"/>
      <c r="DK90" s="603"/>
      <c r="DL90" s="603"/>
      <c r="DM90" s="603"/>
      <c r="DN90" s="603"/>
      <c r="DO90" s="603"/>
      <c r="DP90" s="603"/>
      <c r="DQ90" s="603"/>
      <c r="DR90" s="603"/>
      <c r="DS90" s="603"/>
      <c r="DT90" s="603"/>
      <c r="DU90" s="603"/>
      <c r="DV90" s="603"/>
      <c r="DW90" s="603"/>
      <c r="DX90" s="603"/>
      <c r="DY90" s="603"/>
      <c r="DZ90" s="603"/>
      <c r="EA90" s="603"/>
      <c r="EB90" s="603"/>
      <c r="EC90" s="603"/>
      <c r="ED90" s="603"/>
      <c r="EE90" s="603"/>
      <c r="EF90" s="603"/>
      <c r="EG90" s="603"/>
      <c r="EH90" s="603"/>
      <c r="EI90" s="603"/>
      <c r="EJ90" s="603"/>
      <c r="EK90" s="603"/>
      <c r="EL90" s="603"/>
      <c r="EM90" s="603"/>
      <c r="EN90" s="603"/>
      <c r="EO90" s="603"/>
      <c r="EP90" s="603"/>
      <c r="EQ90" s="603"/>
      <c r="ER90" s="603"/>
      <c r="ES90" s="603"/>
      <c r="ET90" s="603"/>
      <c r="EU90" s="603"/>
      <c r="EV90" s="603"/>
    </row>
    <row r="91" spans="1:152" s="605" customFormat="1" ht="20.100000000000001" customHeight="1">
      <c r="A91" s="635" t="s">
        <v>26</v>
      </c>
      <c r="B91" s="685">
        <f>'예산세출(토당)'!O440</f>
        <v>30874000</v>
      </c>
      <c r="C91" s="686">
        <f t="shared" si="19"/>
        <v>3.5414597641580964E-3</v>
      </c>
      <c r="D91" s="685">
        <f>'예산세출(토당)'!P440</f>
        <v>0</v>
      </c>
      <c r="E91" s="676">
        <f t="shared" si="20"/>
        <v>0</v>
      </c>
      <c r="F91" s="685">
        <f t="shared" si="21"/>
        <v>30874000</v>
      </c>
      <c r="G91" s="640">
        <v>1</v>
      </c>
      <c r="H91" s="670"/>
      <c r="I91" s="670"/>
      <c r="J91" s="670"/>
      <c r="K91" s="670"/>
      <c r="L91" s="603"/>
      <c r="M91" s="661"/>
      <c r="N91" s="661"/>
      <c r="O91" s="661"/>
      <c r="P91" s="661"/>
      <c r="Q91" s="661"/>
      <c r="R91" s="661"/>
      <c r="S91" s="661"/>
      <c r="T91" s="661"/>
      <c r="U91" s="661"/>
      <c r="V91" s="661"/>
      <c r="W91" s="603"/>
      <c r="X91" s="603"/>
      <c r="Y91" s="603"/>
      <c r="Z91" s="603"/>
      <c r="AA91" s="603"/>
      <c r="AB91" s="603"/>
      <c r="AC91" s="603"/>
      <c r="AD91" s="603"/>
      <c r="AE91" s="603"/>
      <c r="AF91" s="603"/>
      <c r="AG91" s="603"/>
      <c r="AH91" s="603"/>
      <c r="AI91" s="603"/>
      <c r="AJ91" s="603"/>
      <c r="AK91" s="603"/>
      <c r="AL91" s="603"/>
      <c r="AM91" s="603"/>
      <c r="AN91" s="603"/>
      <c r="AO91" s="603"/>
      <c r="AP91" s="603"/>
      <c r="AQ91" s="603"/>
      <c r="AR91" s="603"/>
      <c r="AS91" s="603"/>
      <c r="AT91" s="603"/>
      <c r="AU91" s="603"/>
      <c r="AV91" s="603"/>
      <c r="AW91" s="603"/>
      <c r="AX91" s="603"/>
      <c r="AY91" s="603"/>
      <c r="AZ91" s="603"/>
      <c r="BA91" s="603"/>
      <c r="BB91" s="603"/>
      <c r="BC91" s="603"/>
      <c r="BD91" s="603"/>
      <c r="BE91" s="603"/>
      <c r="BF91" s="603"/>
      <c r="BG91" s="603"/>
      <c r="BH91" s="603"/>
      <c r="BI91" s="603"/>
      <c r="BJ91" s="603"/>
      <c r="BK91" s="603"/>
      <c r="BL91" s="603"/>
      <c r="BM91" s="603"/>
      <c r="BN91" s="603"/>
      <c r="BO91" s="603"/>
      <c r="BP91" s="603"/>
      <c r="BQ91" s="603"/>
      <c r="BR91" s="603"/>
      <c r="BS91" s="603"/>
      <c r="BT91" s="603"/>
      <c r="BU91" s="603"/>
      <c r="BV91" s="603"/>
      <c r="BW91" s="603"/>
      <c r="BX91" s="603"/>
      <c r="BY91" s="603"/>
      <c r="BZ91" s="603"/>
      <c r="CA91" s="603"/>
      <c r="CB91" s="603"/>
      <c r="CC91" s="603"/>
      <c r="CD91" s="603"/>
      <c r="CE91" s="603"/>
      <c r="CF91" s="603"/>
      <c r="CG91" s="603"/>
      <c r="CH91" s="603"/>
      <c r="CI91" s="603"/>
      <c r="CJ91" s="603"/>
      <c r="CK91" s="603"/>
      <c r="CL91" s="603"/>
      <c r="CM91" s="603"/>
      <c r="CN91" s="603"/>
      <c r="CO91" s="603"/>
      <c r="CP91" s="603"/>
      <c r="CQ91" s="603"/>
      <c r="CR91" s="603"/>
      <c r="CS91" s="603"/>
      <c r="CT91" s="603"/>
      <c r="CU91" s="603"/>
      <c r="CV91" s="603"/>
      <c r="CW91" s="603"/>
      <c r="CX91" s="603"/>
      <c r="CY91" s="603"/>
      <c r="CZ91" s="603"/>
      <c r="DA91" s="603"/>
      <c r="DB91" s="603"/>
      <c r="DC91" s="603"/>
      <c r="DD91" s="603"/>
      <c r="DE91" s="603"/>
      <c r="DF91" s="603"/>
      <c r="DG91" s="603"/>
      <c r="DH91" s="603"/>
      <c r="DI91" s="603"/>
      <c r="DJ91" s="603"/>
      <c r="DK91" s="603"/>
      <c r="DL91" s="603"/>
      <c r="DM91" s="603"/>
      <c r="DN91" s="603"/>
      <c r="DO91" s="603"/>
      <c r="DP91" s="603"/>
      <c r="DQ91" s="603"/>
      <c r="DR91" s="603"/>
      <c r="DS91" s="603"/>
      <c r="DT91" s="603"/>
      <c r="DU91" s="603"/>
      <c r="DV91" s="603"/>
      <c r="DW91" s="603"/>
      <c r="DX91" s="603"/>
      <c r="DY91" s="603"/>
      <c r="DZ91" s="603"/>
      <c r="EA91" s="603"/>
      <c r="EB91" s="603"/>
      <c r="EC91" s="603"/>
      <c r="ED91" s="603"/>
      <c r="EE91" s="603"/>
      <c r="EF91" s="603"/>
      <c r="EG91" s="603"/>
      <c r="EH91" s="603"/>
      <c r="EI91" s="603"/>
      <c r="EJ91" s="603"/>
      <c r="EK91" s="603"/>
      <c r="EL91" s="603"/>
      <c r="EM91" s="603"/>
      <c r="EN91" s="603"/>
      <c r="EO91" s="603"/>
      <c r="EP91" s="603"/>
      <c r="EQ91" s="603"/>
      <c r="ER91" s="603"/>
      <c r="ES91" s="603"/>
      <c r="ET91" s="603"/>
      <c r="EU91" s="603"/>
      <c r="EV91" s="603"/>
    </row>
    <row r="92" spans="1:152" s="605" customFormat="1" ht="20.100000000000001" customHeight="1">
      <c r="A92" s="635" t="s">
        <v>27</v>
      </c>
      <c r="B92" s="685">
        <f>'예산세출(상담)'!Q225</f>
        <v>24000</v>
      </c>
      <c r="C92" s="686">
        <f t="shared" si="19"/>
        <v>2.7529647709980666E-6</v>
      </c>
      <c r="D92" s="685">
        <f>'예산세출(상담)'!R225</f>
        <v>0</v>
      </c>
      <c r="E92" s="676">
        <f t="shared" si="20"/>
        <v>0</v>
      </c>
      <c r="F92" s="685">
        <f t="shared" si="21"/>
        <v>24000</v>
      </c>
      <c r="G92" s="640">
        <v>1</v>
      </c>
      <c r="H92" s="670"/>
      <c r="I92" s="670"/>
      <c r="J92" s="670"/>
      <c r="K92" s="670"/>
      <c r="L92" s="603"/>
      <c r="M92" s="661"/>
      <c r="N92" s="661"/>
      <c r="O92" s="661"/>
      <c r="P92" s="661"/>
      <c r="Q92" s="661"/>
      <c r="R92" s="661"/>
      <c r="S92" s="661"/>
      <c r="T92" s="661"/>
      <c r="U92" s="661"/>
      <c r="V92" s="661"/>
      <c r="W92" s="603"/>
      <c r="X92" s="603"/>
      <c r="Y92" s="603"/>
      <c r="Z92" s="603"/>
      <c r="AA92" s="603"/>
      <c r="AB92" s="603"/>
      <c r="AC92" s="603"/>
      <c r="AD92" s="603"/>
      <c r="AE92" s="603"/>
      <c r="AF92" s="603"/>
      <c r="AG92" s="603"/>
      <c r="AH92" s="603"/>
      <c r="AI92" s="603"/>
      <c r="AJ92" s="603"/>
      <c r="AK92" s="603"/>
      <c r="AL92" s="603"/>
      <c r="AM92" s="603"/>
      <c r="AN92" s="603"/>
      <c r="AO92" s="603"/>
      <c r="AP92" s="603"/>
      <c r="AQ92" s="603"/>
      <c r="AR92" s="603"/>
      <c r="AS92" s="603"/>
      <c r="AT92" s="603"/>
      <c r="AU92" s="603"/>
      <c r="AV92" s="603"/>
      <c r="AW92" s="603"/>
      <c r="AX92" s="603"/>
      <c r="AY92" s="603"/>
      <c r="AZ92" s="603"/>
      <c r="BA92" s="603"/>
      <c r="BB92" s="603"/>
      <c r="BC92" s="603"/>
      <c r="BD92" s="603"/>
      <c r="BE92" s="603"/>
      <c r="BF92" s="603"/>
      <c r="BG92" s="603"/>
      <c r="BH92" s="603"/>
      <c r="BI92" s="603"/>
      <c r="BJ92" s="603"/>
      <c r="BK92" s="603"/>
      <c r="BL92" s="603"/>
      <c r="BM92" s="603"/>
      <c r="BN92" s="603"/>
      <c r="BO92" s="603"/>
      <c r="BP92" s="603"/>
      <c r="BQ92" s="603"/>
      <c r="BR92" s="603"/>
      <c r="BS92" s="603"/>
      <c r="BT92" s="603"/>
      <c r="BU92" s="603"/>
      <c r="BV92" s="603"/>
      <c r="BW92" s="603"/>
      <c r="BX92" s="603"/>
      <c r="BY92" s="603"/>
      <c r="BZ92" s="603"/>
      <c r="CA92" s="603"/>
      <c r="CB92" s="603"/>
      <c r="CC92" s="603"/>
      <c r="CD92" s="603"/>
      <c r="CE92" s="603"/>
      <c r="CF92" s="603"/>
      <c r="CG92" s="603"/>
      <c r="CH92" s="603"/>
      <c r="CI92" s="603"/>
      <c r="CJ92" s="603"/>
      <c r="CK92" s="603"/>
      <c r="CL92" s="603"/>
      <c r="CM92" s="603"/>
      <c r="CN92" s="603"/>
      <c r="CO92" s="603"/>
      <c r="CP92" s="603"/>
      <c r="CQ92" s="603"/>
      <c r="CR92" s="603"/>
      <c r="CS92" s="603"/>
      <c r="CT92" s="603"/>
      <c r="CU92" s="603"/>
      <c r="CV92" s="603"/>
      <c r="CW92" s="603"/>
      <c r="CX92" s="603"/>
      <c r="CY92" s="603"/>
      <c r="CZ92" s="603"/>
      <c r="DA92" s="603"/>
      <c r="DB92" s="603"/>
      <c r="DC92" s="603"/>
      <c r="DD92" s="603"/>
      <c r="DE92" s="603"/>
      <c r="DF92" s="603"/>
      <c r="DG92" s="603"/>
      <c r="DH92" s="603"/>
      <c r="DI92" s="603"/>
      <c r="DJ92" s="603"/>
      <c r="DK92" s="603"/>
      <c r="DL92" s="603"/>
      <c r="DM92" s="603"/>
      <c r="DN92" s="603"/>
      <c r="DO92" s="603"/>
      <c r="DP92" s="603"/>
      <c r="DQ92" s="603"/>
      <c r="DR92" s="603"/>
      <c r="DS92" s="603"/>
      <c r="DT92" s="603"/>
      <c r="DU92" s="603"/>
      <c r="DV92" s="603"/>
      <c r="DW92" s="603"/>
      <c r="DX92" s="603"/>
      <c r="DY92" s="603"/>
      <c r="DZ92" s="603"/>
      <c r="EA92" s="603"/>
      <c r="EB92" s="603"/>
      <c r="EC92" s="603"/>
      <c r="ED92" s="603"/>
      <c r="EE92" s="603"/>
      <c r="EF92" s="603"/>
      <c r="EG92" s="603"/>
      <c r="EH92" s="603"/>
      <c r="EI92" s="603"/>
      <c r="EJ92" s="603"/>
      <c r="EK92" s="603"/>
      <c r="EL92" s="603"/>
      <c r="EM92" s="603"/>
      <c r="EN92" s="603"/>
      <c r="EO92" s="603"/>
      <c r="EP92" s="603"/>
      <c r="EQ92" s="603"/>
      <c r="ER92" s="603"/>
      <c r="ES92" s="603"/>
      <c r="ET92" s="603"/>
      <c r="EU92" s="603"/>
      <c r="EV92" s="603"/>
    </row>
    <row r="93" spans="1:152" s="605" customFormat="1" ht="20.100000000000001" customHeight="1">
      <c r="A93" s="635" t="s">
        <v>28</v>
      </c>
      <c r="B93" s="685">
        <f>'예산세출(화정)'!O138</f>
        <v>13000</v>
      </c>
      <c r="C93" s="686">
        <f t="shared" si="19"/>
        <v>1.4911892509572861E-6</v>
      </c>
      <c r="D93" s="685">
        <f>'예산세출(화정)'!P138</f>
        <v>0</v>
      </c>
      <c r="E93" s="676">
        <f t="shared" si="20"/>
        <v>0</v>
      </c>
      <c r="F93" s="685">
        <f t="shared" si="21"/>
        <v>13000</v>
      </c>
      <c r="G93" s="640">
        <v>1</v>
      </c>
      <c r="H93" s="670"/>
      <c r="I93" s="670"/>
      <c r="J93" s="670"/>
      <c r="K93" s="670"/>
      <c r="L93" s="603"/>
      <c r="M93" s="661"/>
      <c r="N93" s="661"/>
      <c r="O93" s="661"/>
      <c r="P93" s="661"/>
      <c r="Q93" s="661"/>
      <c r="R93" s="661"/>
      <c r="S93" s="661"/>
      <c r="T93" s="661"/>
      <c r="U93" s="661"/>
      <c r="V93" s="661"/>
      <c r="W93" s="603"/>
      <c r="X93" s="603"/>
      <c r="Y93" s="603"/>
      <c r="Z93" s="603"/>
      <c r="AA93" s="603"/>
      <c r="AB93" s="603"/>
      <c r="AC93" s="603"/>
      <c r="AD93" s="603"/>
      <c r="AE93" s="603"/>
      <c r="AF93" s="603"/>
      <c r="AG93" s="603"/>
      <c r="AH93" s="603"/>
      <c r="AI93" s="603"/>
      <c r="AJ93" s="603"/>
      <c r="AK93" s="603"/>
      <c r="AL93" s="603"/>
      <c r="AM93" s="603"/>
      <c r="AN93" s="603"/>
      <c r="AO93" s="603"/>
      <c r="AP93" s="603"/>
      <c r="AQ93" s="603"/>
      <c r="AR93" s="603"/>
      <c r="AS93" s="603"/>
      <c r="AT93" s="603"/>
      <c r="AU93" s="603"/>
      <c r="AV93" s="603"/>
      <c r="AW93" s="603"/>
      <c r="AX93" s="603"/>
      <c r="AY93" s="603"/>
      <c r="AZ93" s="603"/>
      <c r="BA93" s="603"/>
      <c r="BB93" s="603"/>
      <c r="BC93" s="603"/>
      <c r="BD93" s="603"/>
      <c r="BE93" s="603"/>
      <c r="BF93" s="603"/>
      <c r="BG93" s="603"/>
      <c r="BH93" s="603"/>
      <c r="BI93" s="603"/>
      <c r="BJ93" s="603"/>
      <c r="BK93" s="603"/>
      <c r="BL93" s="603"/>
      <c r="BM93" s="603"/>
      <c r="BN93" s="603"/>
      <c r="BO93" s="603"/>
      <c r="BP93" s="603"/>
      <c r="BQ93" s="603"/>
      <c r="BR93" s="603"/>
      <c r="BS93" s="603"/>
      <c r="BT93" s="603"/>
      <c r="BU93" s="603"/>
      <c r="BV93" s="603"/>
      <c r="BW93" s="603"/>
      <c r="BX93" s="603"/>
      <c r="BY93" s="603"/>
      <c r="BZ93" s="603"/>
      <c r="CA93" s="603"/>
      <c r="CB93" s="603"/>
      <c r="CC93" s="603"/>
      <c r="CD93" s="603"/>
      <c r="CE93" s="603"/>
      <c r="CF93" s="603"/>
      <c r="CG93" s="603"/>
      <c r="CH93" s="603"/>
      <c r="CI93" s="603"/>
      <c r="CJ93" s="603"/>
      <c r="CK93" s="603"/>
      <c r="CL93" s="603"/>
      <c r="CM93" s="603"/>
      <c r="CN93" s="603"/>
      <c r="CO93" s="603"/>
      <c r="CP93" s="603"/>
      <c r="CQ93" s="603"/>
      <c r="CR93" s="603"/>
      <c r="CS93" s="603"/>
      <c r="CT93" s="603"/>
      <c r="CU93" s="603"/>
      <c r="CV93" s="603"/>
      <c r="CW93" s="603"/>
      <c r="CX93" s="603"/>
      <c r="CY93" s="603"/>
      <c r="CZ93" s="603"/>
      <c r="DA93" s="603"/>
      <c r="DB93" s="603"/>
      <c r="DC93" s="603"/>
      <c r="DD93" s="603"/>
      <c r="DE93" s="603"/>
      <c r="DF93" s="603"/>
      <c r="DG93" s="603"/>
      <c r="DH93" s="603"/>
      <c r="DI93" s="603"/>
      <c r="DJ93" s="603"/>
      <c r="DK93" s="603"/>
      <c r="DL93" s="603"/>
      <c r="DM93" s="603"/>
      <c r="DN93" s="603"/>
      <c r="DO93" s="603"/>
      <c r="DP93" s="603"/>
      <c r="DQ93" s="603"/>
      <c r="DR93" s="603"/>
      <c r="DS93" s="603"/>
      <c r="DT93" s="603"/>
      <c r="DU93" s="603"/>
      <c r="DV93" s="603"/>
      <c r="DW93" s="603"/>
      <c r="DX93" s="603"/>
      <c r="DY93" s="603"/>
      <c r="DZ93" s="603"/>
      <c r="EA93" s="603"/>
      <c r="EB93" s="603"/>
      <c r="EC93" s="603"/>
      <c r="ED93" s="603"/>
      <c r="EE93" s="603"/>
      <c r="EF93" s="603"/>
      <c r="EG93" s="603"/>
      <c r="EH93" s="603"/>
      <c r="EI93" s="603"/>
      <c r="EJ93" s="603"/>
      <c r="EK93" s="603"/>
      <c r="EL93" s="603"/>
      <c r="EM93" s="603"/>
      <c r="EN93" s="603"/>
      <c r="EO93" s="603"/>
      <c r="EP93" s="603"/>
      <c r="EQ93" s="603"/>
      <c r="ER93" s="603"/>
      <c r="ES93" s="603"/>
      <c r="ET93" s="603"/>
      <c r="EU93" s="603"/>
      <c r="EV93" s="603"/>
    </row>
    <row r="94" spans="1:152" s="605" customFormat="1" ht="20.100000000000001" customHeight="1">
      <c r="A94" s="635" t="s">
        <v>2515</v>
      </c>
      <c r="B94" s="685">
        <f>'예산세출(백마)'!Q83</f>
        <v>14000</v>
      </c>
      <c r="C94" s="686">
        <f t="shared" si="19"/>
        <v>1.605896116415539E-6</v>
      </c>
      <c r="D94" s="685">
        <f>'예산세출(백마)'!R83</f>
        <v>0</v>
      </c>
      <c r="E94" s="676">
        <f t="shared" si="20"/>
        <v>0</v>
      </c>
      <c r="F94" s="685">
        <f t="shared" si="21"/>
        <v>14000</v>
      </c>
      <c r="G94" s="640">
        <v>1</v>
      </c>
      <c r="H94" s="670"/>
      <c r="I94" s="670"/>
      <c r="J94" s="670"/>
      <c r="K94" s="670"/>
      <c r="L94" s="603"/>
      <c r="M94" s="661"/>
      <c r="N94" s="661"/>
      <c r="O94" s="661"/>
      <c r="P94" s="661"/>
      <c r="Q94" s="661"/>
      <c r="R94" s="661"/>
      <c r="S94" s="661"/>
      <c r="T94" s="661"/>
      <c r="U94" s="661"/>
      <c r="V94" s="661"/>
      <c r="W94" s="603"/>
      <c r="X94" s="603"/>
      <c r="Y94" s="603"/>
      <c r="Z94" s="603"/>
      <c r="AA94" s="603"/>
      <c r="AB94" s="603"/>
      <c r="AC94" s="603"/>
      <c r="AD94" s="603"/>
      <c r="AE94" s="603"/>
      <c r="AF94" s="603"/>
      <c r="AG94" s="603"/>
      <c r="AH94" s="603"/>
      <c r="AI94" s="603"/>
      <c r="AJ94" s="603"/>
      <c r="AK94" s="603"/>
      <c r="AL94" s="603"/>
      <c r="AM94" s="603"/>
      <c r="AN94" s="603"/>
      <c r="AO94" s="603"/>
      <c r="AP94" s="603"/>
      <c r="AQ94" s="603"/>
      <c r="AR94" s="603"/>
      <c r="AS94" s="603"/>
      <c r="AT94" s="603"/>
      <c r="AU94" s="603"/>
      <c r="AV94" s="603"/>
      <c r="AW94" s="603"/>
      <c r="AX94" s="603"/>
      <c r="AY94" s="603"/>
      <c r="AZ94" s="603"/>
      <c r="BA94" s="603"/>
      <c r="BB94" s="603"/>
      <c r="BC94" s="603"/>
      <c r="BD94" s="603"/>
      <c r="BE94" s="603"/>
      <c r="BF94" s="603"/>
      <c r="BG94" s="603"/>
      <c r="BH94" s="603"/>
      <c r="BI94" s="603"/>
      <c r="BJ94" s="603"/>
      <c r="BK94" s="603"/>
      <c r="BL94" s="603"/>
      <c r="BM94" s="603"/>
      <c r="BN94" s="603"/>
      <c r="BO94" s="603"/>
      <c r="BP94" s="603"/>
      <c r="BQ94" s="603"/>
      <c r="BR94" s="603"/>
      <c r="BS94" s="603"/>
      <c r="BT94" s="603"/>
      <c r="BU94" s="603"/>
      <c r="BV94" s="603"/>
      <c r="BW94" s="603"/>
      <c r="BX94" s="603"/>
      <c r="BY94" s="603"/>
      <c r="BZ94" s="603"/>
      <c r="CA94" s="603"/>
      <c r="CB94" s="603"/>
      <c r="CC94" s="603"/>
      <c r="CD94" s="603"/>
      <c r="CE94" s="603"/>
      <c r="CF94" s="603"/>
      <c r="CG94" s="603"/>
      <c r="CH94" s="603"/>
      <c r="CI94" s="603"/>
      <c r="CJ94" s="603"/>
      <c r="CK94" s="603"/>
      <c r="CL94" s="603"/>
      <c r="CM94" s="603"/>
      <c r="CN94" s="603"/>
      <c r="CO94" s="603"/>
      <c r="CP94" s="603"/>
      <c r="CQ94" s="603"/>
      <c r="CR94" s="603"/>
      <c r="CS94" s="603"/>
      <c r="CT94" s="603"/>
      <c r="CU94" s="603"/>
      <c r="CV94" s="603"/>
      <c r="CW94" s="603"/>
      <c r="CX94" s="603"/>
      <c r="CY94" s="603"/>
      <c r="CZ94" s="603"/>
      <c r="DA94" s="603"/>
      <c r="DB94" s="603"/>
      <c r="DC94" s="603"/>
      <c r="DD94" s="603"/>
      <c r="DE94" s="603"/>
      <c r="DF94" s="603"/>
      <c r="DG94" s="603"/>
      <c r="DH94" s="603"/>
      <c r="DI94" s="603"/>
      <c r="DJ94" s="603"/>
      <c r="DK94" s="603"/>
      <c r="DL94" s="603"/>
      <c r="DM94" s="603"/>
      <c r="DN94" s="603"/>
      <c r="DO94" s="603"/>
      <c r="DP94" s="603"/>
      <c r="DQ94" s="603"/>
      <c r="DR94" s="603"/>
      <c r="DS94" s="603"/>
      <c r="DT94" s="603"/>
      <c r="DU94" s="603"/>
      <c r="DV94" s="603"/>
      <c r="DW94" s="603"/>
      <c r="DX94" s="603"/>
      <c r="DY94" s="603"/>
      <c r="DZ94" s="603"/>
      <c r="EA94" s="603"/>
      <c r="EB94" s="603"/>
      <c r="EC94" s="603"/>
      <c r="ED94" s="603"/>
      <c r="EE94" s="603"/>
      <c r="EF94" s="603"/>
      <c r="EG94" s="603"/>
      <c r="EH94" s="603"/>
      <c r="EI94" s="603"/>
      <c r="EJ94" s="603"/>
      <c r="EK94" s="603"/>
      <c r="EL94" s="603"/>
      <c r="EM94" s="603"/>
      <c r="EN94" s="603"/>
      <c r="EO94" s="603"/>
      <c r="EP94" s="603"/>
      <c r="EQ94" s="603"/>
      <c r="ER94" s="603"/>
      <c r="ES94" s="603"/>
      <c r="ET94" s="603"/>
      <c r="EU94" s="603"/>
      <c r="EV94" s="603"/>
    </row>
    <row r="95" spans="1:152" s="605" customFormat="1" ht="20.100000000000001" customHeight="1">
      <c r="A95" s="642" t="s">
        <v>2516</v>
      </c>
      <c r="B95" s="685">
        <f>'예산세출(능곡)'!Q74</f>
        <v>6000</v>
      </c>
      <c r="C95" s="686">
        <f t="shared" si="19"/>
        <v>6.8824119274951665E-7</v>
      </c>
      <c r="D95" s="685">
        <f>'예산세출(백마)'!R83</f>
        <v>0</v>
      </c>
      <c r="E95" s="676">
        <f t="shared" si="4"/>
        <v>0</v>
      </c>
      <c r="F95" s="685">
        <f t="shared" si="21"/>
        <v>6000</v>
      </c>
      <c r="G95" s="640">
        <v>1</v>
      </c>
      <c r="H95" s="670"/>
      <c r="I95" s="670"/>
      <c r="J95" s="670"/>
      <c r="K95" s="670"/>
      <c r="L95" s="603"/>
      <c r="M95" s="661"/>
      <c r="N95" s="661"/>
      <c r="O95" s="661"/>
      <c r="P95" s="661"/>
      <c r="Q95" s="661"/>
      <c r="R95" s="661"/>
      <c r="S95" s="661"/>
      <c r="T95" s="661"/>
      <c r="U95" s="661"/>
      <c r="V95" s="661"/>
      <c r="W95" s="603"/>
      <c r="X95" s="603"/>
      <c r="Y95" s="603"/>
      <c r="Z95" s="603"/>
      <c r="AA95" s="603"/>
      <c r="AB95" s="603"/>
      <c r="AC95" s="603"/>
      <c r="AD95" s="603"/>
      <c r="AE95" s="603"/>
      <c r="AF95" s="603"/>
      <c r="AG95" s="603"/>
      <c r="AH95" s="603"/>
      <c r="AI95" s="603"/>
      <c r="AJ95" s="603"/>
      <c r="AK95" s="603"/>
      <c r="AL95" s="603"/>
      <c r="AM95" s="603"/>
      <c r="AN95" s="603"/>
      <c r="AO95" s="603"/>
      <c r="AP95" s="603"/>
      <c r="AQ95" s="603"/>
      <c r="AR95" s="603"/>
      <c r="AS95" s="603"/>
      <c r="AT95" s="603"/>
      <c r="AU95" s="603"/>
      <c r="AV95" s="603"/>
      <c r="AW95" s="603"/>
      <c r="AX95" s="603"/>
      <c r="AY95" s="603"/>
      <c r="AZ95" s="603"/>
      <c r="BA95" s="603"/>
      <c r="BB95" s="603"/>
      <c r="BC95" s="603"/>
      <c r="BD95" s="603"/>
      <c r="BE95" s="603"/>
      <c r="BF95" s="603"/>
      <c r="BG95" s="603"/>
      <c r="BH95" s="603"/>
      <c r="BI95" s="603"/>
      <c r="BJ95" s="603"/>
      <c r="BK95" s="603"/>
      <c r="BL95" s="603"/>
      <c r="BM95" s="603"/>
      <c r="BN95" s="603"/>
      <c r="BO95" s="603"/>
      <c r="BP95" s="603"/>
      <c r="BQ95" s="603"/>
      <c r="BR95" s="603"/>
      <c r="BS95" s="603"/>
      <c r="BT95" s="603"/>
      <c r="BU95" s="603"/>
      <c r="BV95" s="603"/>
      <c r="BW95" s="603"/>
      <c r="BX95" s="603"/>
      <c r="BY95" s="603"/>
      <c r="BZ95" s="603"/>
      <c r="CA95" s="603"/>
      <c r="CB95" s="603"/>
      <c r="CC95" s="603"/>
      <c r="CD95" s="603"/>
      <c r="CE95" s="603"/>
      <c r="CF95" s="603"/>
      <c r="CG95" s="603"/>
      <c r="CH95" s="603"/>
      <c r="CI95" s="603"/>
      <c r="CJ95" s="603"/>
      <c r="CK95" s="603"/>
      <c r="CL95" s="603"/>
      <c r="CM95" s="603"/>
      <c r="CN95" s="603"/>
      <c r="CO95" s="603"/>
      <c r="CP95" s="603"/>
      <c r="CQ95" s="603"/>
      <c r="CR95" s="603"/>
      <c r="CS95" s="603"/>
      <c r="CT95" s="603"/>
      <c r="CU95" s="603"/>
      <c r="CV95" s="603"/>
      <c r="CW95" s="603"/>
      <c r="CX95" s="603"/>
      <c r="CY95" s="603"/>
      <c r="CZ95" s="603"/>
      <c r="DA95" s="603"/>
      <c r="DB95" s="603"/>
      <c r="DC95" s="603"/>
      <c r="DD95" s="603"/>
      <c r="DE95" s="603"/>
      <c r="DF95" s="603"/>
      <c r="DG95" s="603"/>
      <c r="DH95" s="603"/>
      <c r="DI95" s="603"/>
      <c r="DJ95" s="603"/>
      <c r="DK95" s="603"/>
      <c r="DL95" s="603"/>
      <c r="DM95" s="603"/>
      <c r="DN95" s="603"/>
      <c r="DO95" s="603"/>
      <c r="DP95" s="603"/>
      <c r="DQ95" s="603"/>
      <c r="DR95" s="603"/>
      <c r="DS95" s="603"/>
      <c r="DT95" s="603"/>
      <c r="DU95" s="603"/>
      <c r="DV95" s="603"/>
      <c r="DW95" s="603"/>
      <c r="DX95" s="603"/>
      <c r="DY95" s="603"/>
      <c r="DZ95" s="603"/>
      <c r="EA95" s="603"/>
      <c r="EB95" s="603"/>
      <c r="EC95" s="603"/>
      <c r="ED95" s="603"/>
      <c r="EE95" s="603"/>
      <c r="EF95" s="603"/>
      <c r="EG95" s="603"/>
      <c r="EH95" s="603"/>
      <c r="EI95" s="603"/>
      <c r="EJ95" s="603"/>
      <c r="EK95" s="603"/>
      <c r="EL95" s="603"/>
      <c r="EM95" s="603"/>
      <c r="EN95" s="603"/>
      <c r="EO95" s="603"/>
      <c r="EP95" s="603"/>
      <c r="EQ95" s="603"/>
      <c r="ER95" s="603"/>
      <c r="ES95" s="603"/>
      <c r="ET95" s="603"/>
      <c r="EU95" s="603"/>
      <c r="EV95" s="603"/>
    </row>
    <row r="96" spans="1:152" s="605" customFormat="1" ht="20.100000000000001" customHeight="1">
      <c r="A96" s="687" t="s">
        <v>62</v>
      </c>
      <c r="B96" s="688">
        <f>SUM(B97:B100)</f>
        <v>0</v>
      </c>
      <c r="C96" s="689">
        <f t="shared" si="19"/>
        <v>0</v>
      </c>
      <c r="D96" s="688">
        <f>SUM(D97:D100)</f>
        <v>58110000</v>
      </c>
      <c r="E96" s="689">
        <f t="shared" si="4"/>
        <v>9.9754844444413932E-3</v>
      </c>
      <c r="F96" s="688">
        <f>SUM(F97:F100)</f>
        <v>-58110000</v>
      </c>
      <c r="G96" s="690">
        <f t="shared" si="14"/>
        <v>-1</v>
      </c>
      <c r="H96" s="669"/>
      <c r="I96" s="669"/>
      <c r="J96" s="669"/>
      <c r="K96" s="669"/>
      <c r="L96" s="603"/>
      <c r="M96" s="661"/>
      <c r="N96" s="661"/>
      <c r="O96" s="661"/>
      <c r="P96" s="661"/>
      <c r="Q96" s="661"/>
      <c r="R96" s="661"/>
      <c r="S96" s="661"/>
      <c r="T96" s="661"/>
      <c r="U96" s="661"/>
      <c r="V96" s="661"/>
      <c r="W96" s="603"/>
      <c r="X96" s="603"/>
      <c r="Y96" s="603"/>
      <c r="Z96" s="603"/>
      <c r="AA96" s="603"/>
      <c r="AB96" s="603"/>
      <c r="AC96" s="603"/>
      <c r="AD96" s="603"/>
      <c r="AE96" s="603"/>
      <c r="AF96" s="603"/>
      <c r="AG96" s="603"/>
      <c r="AH96" s="603"/>
      <c r="AI96" s="603"/>
      <c r="AJ96" s="603"/>
      <c r="AK96" s="603"/>
      <c r="AL96" s="603"/>
      <c r="AM96" s="603"/>
      <c r="AN96" s="603"/>
      <c r="AO96" s="603"/>
      <c r="AP96" s="603"/>
      <c r="AQ96" s="603"/>
      <c r="AR96" s="603"/>
      <c r="AS96" s="603"/>
      <c r="AT96" s="603"/>
      <c r="AU96" s="603"/>
      <c r="AV96" s="603"/>
      <c r="AW96" s="603"/>
      <c r="AX96" s="603"/>
      <c r="AY96" s="603"/>
      <c r="AZ96" s="603"/>
      <c r="BA96" s="603"/>
      <c r="BB96" s="603"/>
      <c r="BC96" s="603"/>
      <c r="BD96" s="603"/>
      <c r="BE96" s="603"/>
      <c r="BF96" s="603"/>
      <c r="BG96" s="603"/>
      <c r="BH96" s="603"/>
      <c r="BI96" s="603"/>
      <c r="BJ96" s="603"/>
      <c r="BK96" s="603"/>
      <c r="BL96" s="603"/>
      <c r="BM96" s="603"/>
      <c r="BN96" s="603"/>
      <c r="BO96" s="603"/>
      <c r="BP96" s="603"/>
      <c r="BQ96" s="603"/>
      <c r="BR96" s="603"/>
      <c r="BS96" s="603"/>
      <c r="BT96" s="603"/>
      <c r="BU96" s="603"/>
      <c r="BV96" s="603"/>
      <c r="BW96" s="603"/>
      <c r="BX96" s="603"/>
      <c r="BY96" s="603"/>
      <c r="BZ96" s="603"/>
      <c r="CA96" s="603"/>
      <c r="CB96" s="603"/>
      <c r="CC96" s="603"/>
      <c r="CD96" s="603"/>
      <c r="CE96" s="603"/>
      <c r="CF96" s="603"/>
      <c r="CG96" s="603"/>
      <c r="CH96" s="603"/>
      <c r="CI96" s="603"/>
      <c r="CJ96" s="603"/>
      <c r="CK96" s="603"/>
      <c r="CL96" s="603"/>
      <c r="CM96" s="603"/>
      <c r="CN96" s="603"/>
      <c r="CO96" s="603"/>
      <c r="CP96" s="603"/>
      <c r="CQ96" s="603"/>
      <c r="CR96" s="603"/>
      <c r="CS96" s="603"/>
      <c r="CT96" s="603"/>
      <c r="CU96" s="603"/>
      <c r="CV96" s="603"/>
      <c r="CW96" s="603"/>
      <c r="CX96" s="603"/>
      <c r="CY96" s="603"/>
      <c r="CZ96" s="603"/>
      <c r="DA96" s="603"/>
      <c r="DB96" s="603"/>
      <c r="DC96" s="603"/>
      <c r="DD96" s="603"/>
      <c r="DE96" s="603"/>
      <c r="DF96" s="603"/>
      <c r="DG96" s="603"/>
      <c r="DH96" s="603"/>
      <c r="DI96" s="603"/>
      <c r="DJ96" s="603"/>
      <c r="DK96" s="603"/>
      <c r="DL96" s="603"/>
      <c r="DM96" s="603"/>
      <c r="DN96" s="603"/>
      <c r="DO96" s="603"/>
      <c r="DP96" s="603"/>
      <c r="DQ96" s="603"/>
      <c r="DR96" s="603"/>
      <c r="DS96" s="603"/>
      <c r="DT96" s="603"/>
      <c r="DU96" s="603"/>
      <c r="DV96" s="603"/>
      <c r="DW96" s="603"/>
      <c r="DX96" s="603"/>
      <c r="DY96" s="603"/>
      <c r="DZ96" s="603"/>
      <c r="EA96" s="603"/>
      <c r="EB96" s="603"/>
      <c r="EC96" s="603"/>
      <c r="ED96" s="603"/>
      <c r="EE96" s="603"/>
      <c r="EF96" s="603"/>
      <c r="EG96" s="603"/>
      <c r="EH96" s="603"/>
      <c r="EI96" s="603"/>
      <c r="EJ96" s="603"/>
      <c r="EK96" s="603"/>
      <c r="EL96" s="603"/>
      <c r="EM96" s="603"/>
      <c r="EN96" s="603"/>
      <c r="EO96" s="603"/>
      <c r="EP96" s="603"/>
      <c r="EQ96" s="603"/>
      <c r="ER96" s="603"/>
      <c r="ES96" s="603"/>
      <c r="ET96" s="603"/>
      <c r="EU96" s="603"/>
      <c r="EV96" s="603"/>
    </row>
    <row r="97" spans="1:152" s="605" customFormat="1" ht="20.100000000000001" customHeight="1">
      <c r="A97" s="684" t="s">
        <v>77</v>
      </c>
      <c r="B97" s="685">
        <f>'예산세출(마두)'!Q278</f>
        <v>0</v>
      </c>
      <c r="C97" s="686">
        <f t="shared" si="19"/>
        <v>0</v>
      </c>
      <c r="D97" s="685">
        <f>'예산세출(마두)'!R278</f>
        <v>43000000</v>
      </c>
      <c r="E97" s="676">
        <f t="shared" si="4"/>
        <v>7.381618157132677E-3</v>
      </c>
      <c r="F97" s="685">
        <f>+B97-D97</f>
        <v>-43000000</v>
      </c>
      <c r="G97" s="640">
        <f t="shared" si="14"/>
        <v>-1</v>
      </c>
      <c r="H97" s="670"/>
      <c r="I97" s="670"/>
      <c r="J97" s="670"/>
      <c r="K97" s="670"/>
      <c r="L97" s="603"/>
      <c r="M97" s="661"/>
      <c r="N97" s="661"/>
      <c r="O97" s="661"/>
      <c r="P97" s="661"/>
      <c r="Q97" s="661"/>
      <c r="R97" s="661"/>
      <c r="S97" s="661"/>
      <c r="T97" s="661"/>
      <c r="U97" s="661"/>
      <c r="V97" s="661"/>
      <c r="W97" s="603"/>
      <c r="X97" s="603"/>
      <c r="Y97" s="603"/>
      <c r="Z97" s="603"/>
      <c r="AA97" s="603"/>
      <c r="AB97" s="603"/>
      <c r="AC97" s="603"/>
      <c r="AD97" s="603"/>
      <c r="AE97" s="603"/>
      <c r="AF97" s="603"/>
      <c r="AG97" s="603"/>
      <c r="AH97" s="603"/>
      <c r="AI97" s="603"/>
      <c r="AJ97" s="603"/>
      <c r="AK97" s="603"/>
      <c r="AL97" s="603"/>
      <c r="AM97" s="603"/>
      <c r="AN97" s="603"/>
      <c r="AO97" s="603"/>
      <c r="AP97" s="603"/>
      <c r="AQ97" s="603"/>
      <c r="AR97" s="603"/>
      <c r="AS97" s="603"/>
      <c r="AT97" s="603"/>
      <c r="AU97" s="603"/>
      <c r="AV97" s="603"/>
      <c r="AW97" s="603"/>
      <c r="AX97" s="603"/>
      <c r="AY97" s="603"/>
      <c r="AZ97" s="603"/>
      <c r="BA97" s="603"/>
      <c r="BB97" s="603"/>
      <c r="BC97" s="603"/>
      <c r="BD97" s="603"/>
      <c r="BE97" s="603"/>
      <c r="BF97" s="603"/>
      <c r="BG97" s="603"/>
      <c r="BH97" s="603"/>
      <c r="BI97" s="603"/>
      <c r="BJ97" s="603"/>
      <c r="BK97" s="603"/>
      <c r="BL97" s="603"/>
      <c r="BM97" s="603"/>
      <c r="BN97" s="603"/>
      <c r="BO97" s="603"/>
      <c r="BP97" s="603"/>
      <c r="BQ97" s="603"/>
      <c r="BR97" s="603"/>
      <c r="BS97" s="603"/>
      <c r="BT97" s="603"/>
      <c r="BU97" s="603"/>
      <c r="BV97" s="603"/>
      <c r="BW97" s="603"/>
      <c r="BX97" s="603"/>
      <c r="BY97" s="603"/>
      <c r="BZ97" s="603"/>
      <c r="CA97" s="603"/>
      <c r="CB97" s="603"/>
      <c r="CC97" s="603"/>
      <c r="CD97" s="603"/>
      <c r="CE97" s="603"/>
      <c r="CF97" s="603"/>
      <c r="CG97" s="603"/>
      <c r="CH97" s="603"/>
      <c r="CI97" s="603"/>
      <c r="CJ97" s="603"/>
      <c r="CK97" s="603"/>
      <c r="CL97" s="603"/>
      <c r="CM97" s="603"/>
      <c r="CN97" s="603"/>
      <c r="CO97" s="603"/>
      <c r="CP97" s="603"/>
      <c r="CQ97" s="603"/>
      <c r="CR97" s="603"/>
      <c r="CS97" s="603"/>
      <c r="CT97" s="603"/>
      <c r="CU97" s="603"/>
      <c r="CV97" s="603"/>
      <c r="CW97" s="603"/>
      <c r="CX97" s="603"/>
      <c r="CY97" s="603"/>
      <c r="CZ97" s="603"/>
      <c r="DA97" s="603"/>
      <c r="DB97" s="603"/>
      <c r="DC97" s="603"/>
      <c r="DD97" s="603"/>
      <c r="DE97" s="603"/>
      <c r="DF97" s="603"/>
      <c r="DG97" s="603"/>
      <c r="DH97" s="603"/>
      <c r="DI97" s="603"/>
      <c r="DJ97" s="603"/>
      <c r="DK97" s="603"/>
      <c r="DL97" s="603"/>
      <c r="DM97" s="603"/>
      <c r="DN97" s="603"/>
      <c r="DO97" s="603"/>
      <c r="DP97" s="603"/>
      <c r="DQ97" s="603"/>
      <c r="DR97" s="603"/>
      <c r="DS97" s="603"/>
      <c r="DT97" s="603"/>
      <c r="DU97" s="603"/>
      <c r="DV97" s="603"/>
      <c r="DW97" s="603"/>
      <c r="DX97" s="603"/>
      <c r="DY97" s="603"/>
      <c r="DZ97" s="603"/>
      <c r="EA97" s="603"/>
      <c r="EB97" s="603"/>
      <c r="EC97" s="603"/>
      <c r="ED97" s="603"/>
      <c r="EE97" s="603"/>
      <c r="EF97" s="603"/>
      <c r="EG97" s="603"/>
      <c r="EH97" s="603"/>
      <c r="EI97" s="603"/>
      <c r="EJ97" s="603"/>
      <c r="EK97" s="603"/>
      <c r="EL97" s="603"/>
      <c r="EM97" s="603"/>
      <c r="EN97" s="603"/>
      <c r="EO97" s="603"/>
      <c r="EP97" s="603"/>
      <c r="EQ97" s="603"/>
      <c r="ER97" s="603"/>
      <c r="ES97" s="603"/>
      <c r="ET97" s="603"/>
      <c r="EU97" s="603"/>
      <c r="EV97" s="603"/>
    </row>
    <row r="98" spans="1:152" s="605" customFormat="1" ht="20.100000000000001" customHeight="1">
      <c r="A98" s="684" t="s">
        <v>24</v>
      </c>
      <c r="B98" s="685">
        <f>'예산세출(성사)'!R207</f>
        <v>0</v>
      </c>
      <c r="C98" s="686">
        <f t="shared" si="19"/>
        <v>0</v>
      </c>
      <c r="D98" s="685">
        <f>'예산세출(성사)'!S207</f>
        <v>12100000</v>
      </c>
      <c r="E98" s="676">
        <f t="shared" si="4"/>
        <v>2.0771530163094278E-3</v>
      </c>
      <c r="F98" s="685">
        <f>+B98-D98</f>
        <v>-12100000</v>
      </c>
      <c r="G98" s="640">
        <f t="shared" si="14"/>
        <v>-1</v>
      </c>
      <c r="H98" s="670"/>
      <c r="I98" s="670"/>
      <c r="J98" s="670"/>
      <c r="K98" s="670"/>
      <c r="L98" s="603"/>
      <c r="M98" s="603"/>
      <c r="N98" s="603"/>
      <c r="O98" s="603"/>
      <c r="P98" s="603"/>
      <c r="Q98" s="603"/>
      <c r="R98" s="603"/>
      <c r="S98" s="603"/>
      <c r="T98" s="603"/>
      <c r="U98" s="603"/>
      <c r="V98" s="603"/>
      <c r="W98" s="603"/>
      <c r="X98" s="603"/>
      <c r="Y98" s="603"/>
      <c r="Z98" s="603"/>
      <c r="AA98" s="603"/>
      <c r="AB98" s="603"/>
      <c r="AC98" s="603"/>
      <c r="AD98" s="603"/>
      <c r="AE98" s="603"/>
      <c r="AF98" s="603"/>
      <c r="AG98" s="603"/>
      <c r="AH98" s="603"/>
      <c r="AI98" s="603"/>
      <c r="AJ98" s="603"/>
      <c r="AK98" s="603"/>
      <c r="AL98" s="603"/>
      <c r="AM98" s="603"/>
      <c r="AN98" s="603"/>
      <c r="AO98" s="603"/>
      <c r="AP98" s="603"/>
      <c r="AQ98" s="603"/>
      <c r="AR98" s="603"/>
      <c r="AS98" s="603"/>
      <c r="AT98" s="603"/>
      <c r="AU98" s="603"/>
      <c r="AV98" s="603"/>
      <c r="AW98" s="603"/>
      <c r="AX98" s="603"/>
      <c r="AY98" s="603"/>
      <c r="AZ98" s="603"/>
      <c r="BA98" s="603"/>
      <c r="BB98" s="603"/>
      <c r="BC98" s="603"/>
      <c r="BD98" s="603"/>
      <c r="BE98" s="603"/>
      <c r="BF98" s="603"/>
      <c r="BG98" s="603"/>
      <c r="BH98" s="603"/>
      <c r="BI98" s="603"/>
      <c r="BJ98" s="603"/>
      <c r="BK98" s="603"/>
      <c r="BL98" s="603"/>
      <c r="BM98" s="603"/>
      <c r="BN98" s="603"/>
      <c r="BO98" s="603"/>
      <c r="BP98" s="603"/>
      <c r="BQ98" s="603"/>
      <c r="BR98" s="603"/>
      <c r="BS98" s="603"/>
      <c r="BT98" s="603"/>
      <c r="BU98" s="603"/>
      <c r="BV98" s="603"/>
      <c r="BW98" s="603"/>
      <c r="BX98" s="603"/>
      <c r="BY98" s="603"/>
      <c r="BZ98" s="603"/>
      <c r="CA98" s="603"/>
      <c r="CB98" s="603"/>
      <c r="CC98" s="603"/>
      <c r="CD98" s="603"/>
      <c r="CE98" s="603"/>
      <c r="CF98" s="603"/>
      <c r="CG98" s="603"/>
      <c r="CH98" s="603"/>
      <c r="CI98" s="603"/>
      <c r="CJ98" s="603"/>
      <c r="CK98" s="603"/>
      <c r="CL98" s="603"/>
      <c r="CM98" s="603"/>
      <c r="CN98" s="603"/>
      <c r="CO98" s="603"/>
      <c r="CP98" s="603"/>
      <c r="CQ98" s="603"/>
      <c r="CR98" s="603"/>
      <c r="CS98" s="603"/>
      <c r="CT98" s="603"/>
      <c r="CU98" s="603"/>
      <c r="CV98" s="603"/>
      <c r="CW98" s="603"/>
      <c r="CX98" s="603"/>
      <c r="CY98" s="603"/>
      <c r="CZ98" s="603"/>
      <c r="DA98" s="603"/>
      <c r="DB98" s="603"/>
      <c r="DC98" s="603"/>
      <c r="DD98" s="603"/>
      <c r="DE98" s="603"/>
      <c r="DF98" s="603"/>
      <c r="DG98" s="603"/>
      <c r="DH98" s="603"/>
      <c r="DI98" s="603"/>
      <c r="DJ98" s="603"/>
      <c r="DK98" s="603"/>
      <c r="DL98" s="603"/>
      <c r="DM98" s="603"/>
      <c r="DN98" s="603"/>
      <c r="DO98" s="603"/>
      <c r="DP98" s="603"/>
      <c r="DQ98" s="603"/>
      <c r="DR98" s="603"/>
      <c r="DS98" s="603"/>
      <c r="DT98" s="603"/>
      <c r="DU98" s="603"/>
      <c r="DV98" s="603"/>
      <c r="DW98" s="603"/>
      <c r="DX98" s="603"/>
      <c r="DY98" s="603"/>
      <c r="DZ98" s="603"/>
      <c r="EA98" s="603"/>
      <c r="EB98" s="603"/>
      <c r="EC98" s="603"/>
      <c r="ED98" s="603"/>
      <c r="EE98" s="603"/>
      <c r="EF98" s="603"/>
      <c r="EG98" s="603"/>
      <c r="EH98" s="603"/>
      <c r="EI98" s="603"/>
      <c r="EJ98" s="603"/>
      <c r="EK98" s="603"/>
      <c r="EL98" s="603"/>
      <c r="EM98" s="603"/>
      <c r="EN98" s="603"/>
      <c r="EO98" s="603"/>
      <c r="EP98" s="603"/>
      <c r="EQ98" s="603"/>
      <c r="ER98" s="603"/>
      <c r="ES98" s="603"/>
      <c r="ET98" s="603"/>
      <c r="EU98" s="603"/>
      <c r="EV98" s="603"/>
    </row>
    <row r="99" spans="1:152" s="605" customFormat="1" ht="20.100000000000001" customHeight="1">
      <c r="A99" s="635" t="s">
        <v>25</v>
      </c>
      <c r="B99" s="685">
        <f>'예산세출(탄현)'!Q276</f>
        <v>0</v>
      </c>
      <c r="C99" s="686">
        <f t="shared" si="19"/>
        <v>0</v>
      </c>
      <c r="D99" s="685">
        <f>'예산세출(탄현)'!R276</f>
        <v>1000000</v>
      </c>
      <c r="E99" s="676">
        <f t="shared" si="4"/>
        <v>1.7166553853796923E-4</v>
      </c>
      <c r="F99" s="685">
        <f>+B99-D99</f>
        <v>-1000000</v>
      </c>
      <c r="G99" s="640">
        <f t="shared" si="14"/>
        <v>-1</v>
      </c>
      <c r="H99" s="670"/>
      <c r="I99" s="670"/>
      <c r="J99" s="670"/>
      <c r="K99" s="670"/>
      <c r="L99" s="603"/>
      <c r="M99" s="603"/>
      <c r="N99" s="603"/>
      <c r="O99" s="603"/>
      <c r="P99" s="603"/>
      <c r="Q99" s="603"/>
      <c r="R99" s="603"/>
      <c r="S99" s="603"/>
      <c r="T99" s="603"/>
      <c r="U99" s="603"/>
      <c r="V99" s="603"/>
      <c r="W99" s="603"/>
      <c r="X99" s="603"/>
      <c r="Y99" s="603"/>
      <c r="Z99" s="603"/>
      <c r="AA99" s="603"/>
      <c r="AB99" s="603"/>
      <c r="AC99" s="603"/>
      <c r="AD99" s="603"/>
      <c r="AE99" s="603"/>
      <c r="AF99" s="603"/>
      <c r="AG99" s="603"/>
      <c r="AH99" s="603"/>
      <c r="AI99" s="603"/>
      <c r="AJ99" s="603"/>
      <c r="AK99" s="603"/>
      <c r="AL99" s="603"/>
      <c r="AM99" s="603"/>
      <c r="AN99" s="603"/>
      <c r="AO99" s="603"/>
      <c r="AP99" s="603"/>
      <c r="AQ99" s="603"/>
      <c r="AR99" s="603"/>
      <c r="AS99" s="603"/>
      <c r="AT99" s="603"/>
      <c r="AU99" s="603"/>
      <c r="AV99" s="603"/>
      <c r="AW99" s="603"/>
      <c r="AX99" s="603"/>
      <c r="AY99" s="603"/>
      <c r="AZ99" s="603"/>
      <c r="BA99" s="603"/>
      <c r="BB99" s="603"/>
      <c r="BC99" s="603"/>
      <c r="BD99" s="603"/>
      <c r="BE99" s="603"/>
      <c r="BF99" s="603"/>
      <c r="BG99" s="603"/>
      <c r="BH99" s="603"/>
      <c r="BI99" s="603"/>
      <c r="BJ99" s="603"/>
      <c r="BK99" s="603"/>
      <c r="BL99" s="603"/>
      <c r="BM99" s="603"/>
      <c r="BN99" s="603"/>
      <c r="BO99" s="603"/>
      <c r="BP99" s="603"/>
      <c r="BQ99" s="603"/>
      <c r="BR99" s="603"/>
      <c r="BS99" s="603"/>
      <c r="BT99" s="603"/>
      <c r="BU99" s="603"/>
      <c r="BV99" s="603"/>
      <c r="BW99" s="603"/>
      <c r="BX99" s="603"/>
      <c r="BY99" s="603"/>
      <c r="BZ99" s="603"/>
      <c r="CA99" s="603"/>
      <c r="CB99" s="603"/>
      <c r="CC99" s="603"/>
      <c r="CD99" s="603"/>
      <c r="CE99" s="603"/>
      <c r="CF99" s="603"/>
      <c r="CG99" s="603"/>
      <c r="CH99" s="603"/>
      <c r="CI99" s="603"/>
      <c r="CJ99" s="603"/>
      <c r="CK99" s="603"/>
      <c r="CL99" s="603"/>
      <c r="CM99" s="603"/>
      <c r="CN99" s="603"/>
      <c r="CO99" s="603"/>
      <c r="CP99" s="603"/>
      <c r="CQ99" s="603"/>
      <c r="CR99" s="603"/>
      <c r="CS99" s="603"/>
      <c r="CT99" s="603"/>
      <c r="CU99" s="603"/>
      <c r="CV99" s="603"/>
      <c r="CW99" s="603"/>
      <c r="CX99" s="603"/>
      <c r="CY99" s="603"/>
      <c r="CZ99" s="603"/>
      <c r="DA99" s="603"/>
      <c r="DB99" s="603"/>
      <c r="DC99" s="603"/>
      <c r="DD99" s="603"/>
      <c r="DE99" s="603"/>
      <c r="DF99" s="603"/>
      <c r="DG99" s="603"/>
      <c r="DH99" s="603"/>
      <c r="DI99" s="603"/>
      <c r="DJ99" s="603"/>
      <c r="DK99" s="603"/>
      <c r="DL99" s="603"/>
      <c r="DM99" s="603"/>
      <c r="DN99" s="603"/>
      <c r="DO99" s="603"/>
      <c r="DP99" s="603"/>
      <c r="DQ99" s="603"/>
      <c r="DR99" s="603"/>
      <c r="DS99" s="603"/>
      <c r="DT99" s="603"/>
      <c r="DU99" s="603"/>
      <c r="DV99" s="603"/>
      <c r="DW99" s="603"/>
      <c r="DX99" s="603"/>
      <c r="DY99" s="603"/>
      <c r="DZ99" s="603"/>
      <c r="EA99" s="603"/>
      <c r="EB99" s="603"/>
      <c r="EC99" s="603"/>
      <c r="ED99" s="603"/>
      <c r="EE99" s="603"/>
      <c r="EF99" s="603"/>
      <c r="EG99" s="603"/>
      <c r="EH99" s="603"/>
      <c r="EI99" s="603"/>
      <c r="EJ99" s="603"/>
      <c r="EK99" s="603"/>
      <c r="EL99" s="603"/>
      <c r="EM99" s="603"/>
      <c r="EN99" s="603"/>
      <c r="EO99" s="603"/>
      <c r="EP99" s="603"/>
      <c r="EQ99" s="603"/>
      <c r="ER99" s="603"/>
      <c r="ES99" s="603"/>
      <c r="ET99" s="603"/>
      <c r="EU99" s="603"/>
      <c r="EV99" s="603"/>
    </row>
    <row r="100" spans="1:152" s="605" customFormat="1" ht="20.100000000000001" customHeight="1" thickBot="1">
      <c r="A100" s="696" t="s">
        <v>2141</v>
      </c>
      <c r="B100" s="697">
        <f>'예산세출(주교)'!Q114</f>
        <v>0</v>
      </c>
      <c r="C100" s="698">
        <f t="shared" si="19"/>
        <v>0</v>
      </c>
      <c r="D100" s="697">
        <f>'예산세출(주교)'!R114</f>
        <v>2010000</v>
      </c>
      <c r="E100" s="699">
        <f t="shared" si="4"/>
        <v>3.4504773246131818E-4</v>
      </c>
      <c r="F100" s="697">
        <f>+B100-D100</f>
        <v>-2010000</v>
      </c>
      <c r="G100" s="700">
        <f t="shared" si="14"/>
        <v>-1</v>
      </c>
      <c r="H100" s="670"/>
      <c r="I100" s="670"/>
      <c r="J100" s="670"/>
      <c r="K100" s="670"/>
      <c r="L100" s="603"/>
      <c r="M100" s="603"/>
      <c r="N100" s="603"/>
      <c r="O100" s="603"/>
      <c r="P100" s="603"/>
      <c r="Q100" s="603"/>
      <c r="R100" s="603"/>
      <c r="S100" s="603"/>
      <c r="T100" s="603"/>
      <c r="U100" s="603"/>
      <c r="V100" s="603"/>
      <c r="W100" s="603"/>
      <c r="X100" s="603"/>
      <c r="Y100" s="603"/>
      <c r="Z100" s="603"/>
      <c r="AA100" s="603"/>
      <c r="AB100" s="603"/>
      <c r="AC100" s="603"/>
      <c r="AD100" s="603"/>
      <c r="AE100" s="603"/>
      <c r="AF100" s="603"/>
      <c r="AG100" s="603"/>
      <c r="AH100" s="603"/>
      <c r="AI100" s="603"/>
      <c r="AJ100" s="603"/>
      <c r="AK100" s="603"/>
      <c r="AL100" s="603"/>
      <c r="AM100" s="603"/>
      <c r="AN100" s="603"/>
      <c r="AO100" s="603"/>
      <c r="AP100" s="603"/>
      <c r="AQ100" s="603"/>
      <c r="AR100" s="603"/>
      <c r="AS100" s="603"/>
      <c r="AT100" s="603"/>
      <c r="AU100" s="603"/>
      <c r="AV100" s="603"/>
      <c r="AW100" s="603"/>
      <c r="AX100" s="603"/>
      <c r="AY100" s="603"/>
      <c r="AZ100" s="603"/>
      <c r="BA100" s="603"/>
      <c r="BB100" s="603"/>
      <c r="BC100" s="603"/>
      <c r="BD100" s="603"/>
      <c r="BE100" s="603"/>
      <c r="BF100" s="603"/>
      <c r="BG100" s="603"/>
      <c r="BH100" s="603"/>
      <c r="BI100" s="603"/>
      <c r="BJ100" s="603"/>
      <c r="BK100" s="603"/>
      <c r="BL100" s="603"/>
      <c r="BM100" s="603"/>
      <c r="BN100" s="603"/>
      <c r="BO100" s="603"/>
      <c r="BP100" s="603"/>
      <c r="BQ100" s="603"/>
      <c r="BR100" s="603"/>
      <c r="BS100" s="603"/>
      <c r="BT100" s="603"/>
      <c r="BU100" s="603"/>
      <c r="BV100" s="603"/>
      <c r="BW100" s="603"/>
      <c r="BX100" s="603"/>
      <c r="BY100" s="603"/>
      <c r="BZ100" s="603"/>
      <c r="CA100" s="603"/>
      <c r="CB100" s="603"/>
      <c r="CC100" s="603"/>
      <c r="CD100" s="603"/>
      <c r="CE100" s="603"/>
      <c r="CF100" s="603"/>
      <c r="CG100" s="603"/>
      <c r="CH100" s="603"/>
      <c r="CI100" s="603"/>
      <c r="CJ100" s="603"/>
      <c r="CK100" s="603"/>
      <c r="CL100" s="603"/>
      <c r="CM100" s="603"/>
      <c r="CN100" s="603"/>
      <c r="CO100" s="603"/>
      <c r="CP100" s="603"/>
      <c r="CQ100" s="603"/>
      <c r="CR100" s="603"/>
      <c r="CS100" s="603"/>
      <c r="CT100" s="603"/>
      <c r="CU100" s="603"/>
      <c r="CV100" s="603"/>
      <c r="CW100" s="603"/>
      <c r="CX100" s="603"/>
      <c r="CY100" s="603"/>
      <c r="CZ100" s="603"/>
      <c r="DA100" s="603"/>
      <c r="DB100" s="603"/>
      <c r="DC100" s="603"/>
      <c r="DD100" s="603"/>
      <c r="DE100" s="603"/>
      <c r="DF100" s="603"/>
      <c r="DG100" s="603"/>
      <c r="DH100" s="603"/>
      <c r="DI100" s="603"/>
      <c r="DJ100" s="603"/>
      <c r="DK100" s="603"/>
      <c r="DL100" s="603"/>
      <c r="DM100" s="603"/>
      <c r="DN100" s="603"/>
      <c r="DO100" s="603"/>
      <c r="DP100" s="603"/>
      <c r="DQ100" s="603"/>
      <c r="DR100" s="603"/>
      <c r="DS100" s="603"/>
      <c r="DT100" s="603"/>
      <c r="DU100" s="603"/>
      <c r="DV100" s="603"/>
      <c r="DW100" s="603"/>
      <c r="DX100" s="603"/>
      <c r="DY100" s="603"/>
      <c r="DZ100" s="603"/>
      <c r="EA100" s="603"/>
      <c r="EB100" s="603"/>
      <c r="EC100" s="603"/>
      <c r="ED100" s="603"/>
      <c r="EE100" s="603"/>
      <c r="EF100" s="603"/>
      <c r="EG100" s="603"/>
      <c r="EH100" s="603"/>
      <c r="EI100" s="603"/>
      <c r="EJ100" s="603"/>
      <c r="EK100" s="603"/>
      <c r="EL100" s="603"/>
      <c r="EM100" s="603"/>
      <c r="EN100" s="603"/>
      <c r="EO100" s="603"/>
      <c r="EP100" s="603"/>
      <c r="EQ100" s="603"/>
      <c r="ER100" s="603"/>
      <c r="ES100" s="603"/>
      <c r="ET100" s="603"/>
      <c r="EU100" s="603"/>
      <c r="EV100" s="603"/>
    </row>
    <row r="101" spans="1:152" s="661" customFormat="1" ht="21.95" customHeight="1">
      <c r="B101" s="701"/>
      <c r="C101" s="701"/>
      <c r="D101" s="702"/>
      <c r="G101" s="703"/>
      <c r="H101" s="703"/>
      <c r="I101" s="703"/>
      <c r="J101" s="703"/>
      <c r="K101" s="703"/>
    </row>
    <row r="102" spans="1:152" s="661" customFormat="1" ht="21.95" customHeight="1">
      <c r="B102" s="701"/>
      <c r="C102" s="701"/>
      <c r="D102" s="702"/>
    </row>
    <row r="103" spans="1:152" s="661" customFormat="1" ht="16.5">
      <c r="B103" s="701"/>
      <c r="C103" s="704"/>
      <c r="D103" s="702"/>
    </row>
    <row r="104" spans="1:152" s="661" customFormat="1" ht="16.5">
      <c r="B104" s="701"/>
      <c r="C104" s="701"/>
      <c r="D104" s="702"/>
    </row>
    <row r="105" spans="1:152" s="661" customFormat="1" ht="16.5">
      <c r="B105" s="701"/>
      <c r="C105" s="701"/>
      <c r="D105" s="702"/>
    </row>
    <row r="106" spans="1:152" s="661" customFormat="1" ht="16.5">
      <c r="B106" s="701"/>
      <c r="C106" s="701"/>
      <c r="D106" s="702"/>
    </row>
    <row r="107" spans="1:152" s="661" customFormat="1" ht="16.5">
      <c r="B107" s="701"/>
      <c r="C107" s="701"/>
      <c r="D107" s="702"/>
    </row>
    <row r="108" spans="1:152" s="661" customFormat="1" ht="16.5">
      <c r="B108" s="701"/>
      <c r="C108" s="701"/>
      <c r="D108" s="702"/>
    </row>
    <row r="109" spans="1:152" s="661" customFormat="1" ht="16.5">
      <c r="B109" s="701"/>
      <c r="C109" s="701"/>
      <c r="D109" s="702"/>
    </row>
    <row r="110" spans="1:152" s="661" customFormat="1" ht="16.5">
      <c r="B110" s="701"/>
      <c r="C110" s="701"/>
      <c r="D110" s="702"/>
    </row>
    <row r="111" spans="1:152" s="661" customFormat="1" ht="16.5">
      <c r="B111" s="701"/>
      <c r="C111" s="701"/>
      <c r="D111" s="702"/>
    </row>
    <row r="112" spans="1:152" s="661" customFormat="1" ht="16.5">
      <c r="B112" s="701"/>
      <c r="C112" s="701"/>
      <c r="D112" s="702"/>
    </row>
    <row r="113" spans="2:4" s="661" customFormat="1" ht="16.5">
      <c r="B113" s="701"/>
      <c r="C113" s="701"/>
      <c r="D113" s="702"/>
    </row>
    <row r="114" spans="2:4" s="661" customFormat="1" ht="16.5">
      <c r="B114" s="701"/>
      <c r="C114" s="701"/>
      <c r="D114" s="702"/>
    </row>
    <row r="115" spans="2:4" s="661" customFormat="1" ht="16.5">
      <c r="B115" s="701"/>
      <c r="C115" s="701"/>
      <c r="D115" s="702"/>
    </row>
    <row r="116" spans="2:4" s="661" customFormat="1" ht="16.5">
      <c r="B116" s="701"/>
      <c r="C116" s="701"/>
      <c r="D116" s="702"/>
    </row>
    <row r="117" spans="2:4" s="661" customFormat="1" ht="16.5">
      <c r="B117" s="701"/>
      <c r="C117" s="701"/>
      <c r="D117" s="702"/>
    </row>
    <row r="118" spans="2:4" s="661" customFormat="1" ht="16.5">
      <c r="B118" s="701"/>
      <c r="C118" s="701"/>
      <c r="D118" s="702"/>
    </row>
    <row r="119" spans="2:4" s="661" customFormat="1" ht="16.5">
      <c r="B119" s="701"/>
      <c r="C119" s="701"/>
      <c r="D119" s="702"/>
    </row>
    <row r="120" spans="2:4" s="661" customFormat="1" ht="16.5">
      <c r="B120" s="701"/>
      <c r="C120" s="701"/>
      <c r="D120" s="702"/>
    </row>
    <row r="121" spans="2:4" s="661" customFormat="1" ht="16.5">
      <c r="B121" s="701"/>
      <c r="C121" s="701"/>
      <c r="D121" s="702"/>
    </row>
    <row r="122" spans="2:4" s="661" customFormat="1" ht="16.5">
      <c r="B122" s="701"/>
      <c r="C122" s="701"/>
      <c r="D122" s="702"/>
    </row>
    <row r="123" spans="2:4" s="661" customFormat="1" ht="16.5">
      <c r="B123" s="701"/>
      <c r="C123" s="701"/>
      <c r="D123" s="702"/>
    </row>
    <row r="124" spans="2:4" s="661" customFormat="1" ht="16.5">
      <c r="B124" s="701"/>
      <c r="C124" s="701"/>
      <c r="D124" s="702"/>
    </row>
    <row r="125" spans="2:4" s="661" customFormat="1" ht="16.5">
      <c r="B125" s="701"/>
      <c r="C125" s="701"/>
      <c r="D125" s="702"/>
    </row>
    <row r="126" spans="2:4" s="661" customFormat="1" ht="16.5">
      <c r="B126" s="701"/>
      <c r="C126" s="701"/>
      <c r="D126" s="702"/>
    </row>
    <row r="127" spans="2:4" s="661" customFormat="1" ht="16.5">
      <c r="B127" s="701"/>
      <c r="C127" s="701"/>
      <c r="D127" s="702"/>
    </row>
    <row r="128" spans="2:4" s="661" customFormat="1" ht="16.5">
      <c r="B128" s="701"/>
      <c r="C128" s="701"/>
      <c r="D128" s="702"/>
    </row>
    <row r="129" spans="2:4" s="661" customFormat="1" ht="16.5">
      <c r="B129" s="701"/>
      <c r="C129" s="701"/>
      <c r="D129" s="702"/>
    </row>
    <row r="130" spans="2:4" s="661" customFormat="1" ht="16.5">
      <c r="B130" s="701"/>
      <c r="C130" s="701"/>
      <c r="D130" s="702"/>
    </row>
    <row r="131" spans="2:4" s="661" customFormat="1" ht="16.5">
      <c r="B131" s="701"/>
      <c r="C131" s="701"/>
      <c r="D131" s="702"/>
    </row>
    <row r="132" spans="2:4" s="661" customFormat="1" ht="16.5">
      <c r="B132" s="701"/>
      <c r="C132" s="701"/>
      <c r="D132" s="702"/>
    </row>
    <row r="133" spans="2:4" s="661" customFormat="1" ht="16.5">
      <c r="B133" s="701"/>
      <c r="C133" s="701"/>
      <c r="D133" s="702"/>
    </row>
    <row r="134" spans="2:4" s="661" customFormat="1" ht="16.5">
      <c r="B134" s="701"/>
      <c r="C134" s="701"/>
      <c r="D134" s="702"/>
    </row>
    <row r="135" spans="2:4" s="661" customFormat="1" ht="16.5">
      <c r="B135" s="701"/>
      <c r="C135" s="701"/>
      <c r="D135" s="702"/>
    </row>
    <row r="136" spans="2:4" s="661" customFormat="1" ht="16.5">
      <c r="B136" s="701"/>
      <c r="C136" s="701"/>
      <c r="D136" s="702"/>
    </row>
    <row r="137" spans="2:4" s="661" customFormat="1" ht="16.5">
      <c r="B137" s="701"/>
      <c r="C137" s="701"/>
      <c r="D137" s="702"/>
    </row>
    <row r="138" spans="2:4" s="661" customFormat="1" ht="16.5">
      <c r="B138" s="701"/>
      <c r="C138" s="701"/>
      <c r="D138" s="702"/>
    </row>
    <row r="139" spans="2:4" s="661" customFormat="1" ht="16.5">
      <c r="B139" s="701"/>
      <c r="C139" s="701"/>
      <c r="D139" s="702"/>
    </row>
    <row r="140" spans="2:4" s="661" customFormat="1" ht="21.75" customHeight="1">
      <c r="B140" s="701"/>
      <c r="C140" s="701"/>
      <c r="D140" s="702"/>
    </row>
    <row r="141" spans="2:4" s="661" customFormat="1" ht="21.75" customHeight="1">
      <c r="B141" s="701"/>
      <c r="C141" s="701"/>
      <c r="D141" s="702"/>
    </row>
    <row r="142" spans="2:4" s="661" customFormat="1" ht="21.75" customHeight="1">
      <c r="B142" s="701"/>
      <c r="C142" s="701"/>
      <c r="D142" s="702"/>
    </row>
    <row r="143" spans="2:4" s="661" customFormat="1" ht="21.75" customHeight="1">
      <c r="B143" s="701"/>
      <c r="C143" s="701"/>
      <c r="D143" s="702"/>
    </row>
    <row r="144" spans="2:4" s="661" customFormat="1" ht="21.75" customHeight="1">
      <c r="B144" s="701"/>
      <c r="C144" s="701"/>
      <c r="D144" s="702"/>
    </row>
    <row r="145" spans="2:4" s="661" customFormat="1" ht="21.75" customHeight="1">
      <c r="B145" s="701"/>
      <c r="C145" s="701"/>
      <c r="D145" s="702"/>
    </row>
    <row r="146" spans="2:4" s="661" customFormat="1" ht="21.75" customHeight="1">
      <c r="B146" s="701"/>
      <c r="C146" s="701"/>
      <c r="D146" s="702"/>
    </row>
    <row r="147" spans="2:4" s="661" customFormat="1" ht="21.75" customHeight="1">
      <c r="B147" s="701"/>
      <c r="C147" s="701"/>
      <c r="D147" s="702"/>
    </row>
    <row r="148" spans="2:4" s="661" customFormat="1" ht="21.75" customHeight="1">
      <c r="B148" s="701"/>
      <c r="C148" s="701"/>
      <c r="D148" s="702"/>
    </row>
    <row r="149" spans="2:4" s="661" customFormat="1" ht="21.75" customHeight="1">
      <c r="B149" s="701"/>
      <c r="C149" s="701"/>
      <c r="D149" s="702"/>
    </row>
    <row r="150" spans="2:4" s="661" customFormat="1" ht="21.75" customHeight="1">
      <c r="B150" s="701"/>
      <c r="C150" s="701"/>
      <c r="D150" s="702"/>
    </row>
    <row r="151" spans="2:4" s="661" customFormat="1" ht="21.75" customHeight="1">
      <c r="B151" s="701"/>
      <c r="C151" s="701"/>
      <c r="D151" s="702"/>
    </row>
    <row r="152" spans="2:4" s="661" customFormat="1" ht="21.75" customHeight="1">
      <c r="B152" s="701"/>
      <c r="C152" s="701"/>
      <c r="D152" s="702"/>
    </row>
    <row r="153" spans="2:4" s="661" customFormat="1" ht="21.75" customHeight="1">
      <c r="B153" s="701"/>
      <c r="C153" s="701"/>
      <c r="D153" s="702"/>
    </row>
    <row r="154" spans="2:4" s="661" customFormat="1" ht="21.75" customHeight="1">
      <c r="B154" s="701"/>
      <c r="C154" s="701"/>
      <c r="D154" s="702"/>
    </row>
    <row r="155" spans="2:4" s="661" customFormat="1" ht="21.75" customHeight="1">
      <c r="B155" s="701"/>
      <c r="C155" s="701"/>
      <c r="D155" s="702"/>
    </row>
    <row r="156" spans="2:4" s="661" customFormat="1" ht="21.75" customHeight="1">
      <c r="B156" s="701"/>
      <c r="C156" s="701"/>
      <c r="D156" s="702"/>
    </row>
    <row r="157" spans="2:4" s="661" customFormat="1" ht="21.75" customHeight="1">
      <c r="B157" s="701"/>
      <c r="C157" s="701"/>
      <c r="D157" s="702"/>
    </row>
    <row r="158" spans="2:4" s="661" customFormat="1" ht="21.75" customHeight="1">
      <c r="B158" s="701"/>
      <c r="C158" s="701"/>
      <c r="D158" s="702"/>
    </row>
    <row r="159" spans="2:4" s="661" customFormat="1" ht="21.75" customHeight="1">
      <c r="B159" s="701"/>
      <c r="C159" s="701"/>
      <c r="D159" s="702"/>
    </row>
    <row r="160" spans="2:4" s="661" customFormat="1" ht="21.75" customHeight="1">
      <c r="B160" s="701"/>
      <c r="C160" s="701"/>
      <c r="D160" s="702"/>
    </row>
    <row r="161" spans="2:4" s="661" customFormat="1" ht="21.75" customHeight="1">
      <c r="B161" s="701"/>
      <c r="C161" s="701"/>
      <c r="D161" s="702"/>
    </row>
    <row r="162" spans="2:4" s="661" customFormat="1" ht="21.75" customHeight="1">
      <c r="B162" s="701"/>
      <c r="C162" s="701"/>
      <c r="D162" s="702"/>
    </row>
    <row r="163" spans="2:4" s="661" customFormat="1" ht="21.75" customHeight="1">
      <c r="B163" s="701"/>
      <c r="C163" s="701"/>
      <c r="D163" s="702"/>
    </row>
    <row r="164" spans="2:4" s="661" customFormat="1" ht="21.75" customHeight="1">
      <c r="B164" s="701"/>
      <c r="C164" s="701"/>
      <c r="D164" s="702"/>
    </row>
    <row r="165" spans="2:4" s="661" customFormat="1" ht="21.75" customHeight="1">
      <c r="B165" s="701"/>
      <c r="C165" s="701"/>
      <c r="D165" s="702"/>
    </row>
    <row r="166" spans="2:4" s="661" customFormat="1" ht="21.75" customHeight="1">
      <c r="B166" s="701"/>
      <c r="C166" s="701"/>
      <c r="D166" s="702"/>
    </row>
    <row r="167" spans="2:4" s="661" customFormat="1" ht="21.75" customHeight="1">
      <c r="B167" s="701"/>
      <c r="C167" s="701"/>
      <c r="D167" s="702"/>
    </row>
    <row r="168" spans="2:4" s="661" customFormat="1" ht="21.75" customHeight="1">
      <c r="B168" s="701"/>
      <c r="C168" s="701"/>
      <c r="D168" s="702"/>
    </row>
    <row r="169" spans="2:4" s="661" customFormat="1" ht="21.75" customHeight="1">
      <c r="B169" s="701"/>
      <c r="C169" s="701"/>
      <c r="D169" s="702"/>
    </row>
    <row r="170" spans="2:4" s="661" customFormat="1" ht="21.75" customHeight="1">
      <c r="B170" s="701"/>
      <c r="C170" s="701"/>
      <c r="D170" s="702"/>
    </row>
    <row r="171" spans="2:4" s="661" customFormat="1" ht="21.75" customHeight="1">
      <c r="B171" s="701"/>
      <c r="C171" s="701"/>
      <c r="D171" s="702"/>
    </row>
    <row r="172" spans="2:4" s="661" customFormat="1" ht="21.75" customHeight="1">
      <c r="B172" s="701"/>
      <c r="C172" s="701"/>
      <c r="D172" s="702"/>
    </row>
    <row r="173" spans="2:4" s="661" customFormat="1" ht="21.75" customHeight="1">
      <c r="B173" s="701"/>
      <c r="C173" s="701"/>
      <c r="D173" s="702"/>
    </row>
    <row r="174" spans="2:4" s="661" customFormat="1" ht="21.75" customHeight="1">
      <c r="B174" s="701"/>
      <c r="C174" s="701"/>
      <c r="D174" s="702"/>
    </row>
    <row r="175" spans="2:4" s="661" customFormat="1" ht="21.75" customHeight="1">
      <c r="B175" s="701"/>
      <c r="C175" s="701"/>
      <c r="D175" s="702"/>
    </row>
    <row r="176" spans="2:4" s="661" customFormat="1" ht="21.75" customHeight="1">
      <c r="B176" s="701"/>
      <c r="C176" s="701"/>
      <c r="D176" s="702"/>
    </row>
    <row r="177" spans="2:4" s="661" customFormat="1" ht="21.75" customHeight="1">
      <c r="B177" s="701"/>
      <c r="C177" s="701"/>
      <c r="D177" s="702"/>
    </row>
    <row r="178" spans="2:4" s="661" customFormat="1" ht="21.75" customHeight="1">
      <c r="B178" s="701"/>
      <c r="C178" s="701"/>
      <c r="D178" s="702"/>
    </row>
    <row r="179" spans="2:4" s="661" customFormat="1" ht="21.75" customHeight="1">
      <c r="B179" s="701"/>
      <c r="C179" s="701"/>
      <c r="D179" s="702"/>
    </row>
    <row r="180" spans="2:4" s="661" customFormat="1" ht="21.75" customHeight="1">
      <c r="B180" s="701"/>
      <c r="C180" s="701"/>
      <c r="D180" s="702"/>
    </row>
    <row r="181" spans="2:4" s="661" customFormat="1" ht="21.75" customHeight="1">
      <c r="B181" s="701"/>
      <c r="C181" s="701"/>
      <c r="D181" s="702"/>
    </row>
    <row r="182" spans="2:4" s="661" customFormat="1" ht="21.75" customHeight="1">
      <c r="B182" s="701"/>
      <c r="C182" s="701"/>
      <c r="D182" s="702"/>
    </row>
    <row r="183" spans="2:4" s="661" customFormat="1" ht="21.75" customHeight="1">
      <c r="B183" s="701"/>
      <c r="C183" s="701"/>
      <c r="D183" s="702"/>
    </row>
    <row r="184" spans="2:4" s="661" customFormat="1" ht="21.75" customHeight="1">
      <c r="B184" s="701"/>
      <c r="C184" s="701"/>
      <c r="D184" s="702"/>
    </row>
    <row r="185" spans="2:4" s="661" customFormat="1" ht="21.75" customHeight="1">
      <c r="B185" s="701"/>
      <c r="C185" s="701"/>
      <c r="D185" s="702"/>
    </row>
    <row r="186" spans="2:4" s="661" customFormat="1" ht="21.75" customHeight="1">
      <c r="B186" s="701"/>
      <c r="C186" s="701"/>
      <c r="D186" s="702"/>
    </row>
    <row r="187" spans="2:4" s="661" customFormat="1" ht="21.75" customHeight="1">
      <c r="B187" s="701"/>
      <c r="C187" s="701"/>
      <c r="D187" s="702"/>
    </row>
    <row r="188" spans="2:4" s="661" customFormat="1" ht="21.75" customHeight="1">
      <c r="B188" s="701"/>
      <c r="C188" s="701"/>
      <c r="D188" s="702"/>
    </row>
    <row r="189" spans="2:4" s="661" customFormat="1" ht="21.75" customHeight="1">
      <c r="B189" s="701"/>
      <c r="C189" s="701"/>
      <c r="D189" s="702"/>
    </row>
    <row r="190" spans="2:4" s="661" customFormat="1" ht="21.75" customHeight="1">
      <c r="B190" s="701"/>
      <c r="C190" s="701"/>
      <c r="D190" s="702"/>
    </row>
    <row r="191" spans="2:4" s="661" customFormat="1" ht="21.75" customHeight="1">
      <c r="B191" s="701"/>
      <c r="C191" s="701"/>
      <c r="D191" s="702"/>
    </row>
    <row r="192" spans="2:4" s="661" customFormat="1" ht="21.75" customHeight="1">
      <c r="B192" s="701"/>
      <c r="C192" s="701"/>
      <c r="D192" s="702"/>
    </row>
    <row r="193" spans="2:4" s="661" customFormat="1" ht="21.75" customHeight="1">
      <c r="B193" s="701"/>
      <c r="C193" s="701"/>
      <c r="D193" s="702"/>
    </row>
    <row r="194" spans="2:4" s="661" customFormat="1" ht="21.75" customHeight="1">
      <c r="B194" s="701"/>
      <c r="C194" s="701"/>
      <c r="D194" s="702"/>
    </row>
    <row r="195" spans="2:4" s="661" customFormat="1" ht="21.75" customHeight="1">
      <c r="B195" s="701"/>
      <c r="C195" s="701"/>
      <c r="D195" s="702"/>
    </row>
    <row r="196" spans="2:4" s="661" customFormat="1" ht="21.75" customHeight="1">
      <c r="B196" s="701"/>
      <c r="C196" s="701"/>
      <c r="D196" s="702"/>
    </row>
    <row r="197" spans="2:4" s="661" customFormat="1" ht="21.75" customHeight="1">
      <c r="B197" s="701"/>
      <c r="C197" s="701"/>
      <c r="D197" s="702"/>
    </row>
    <row r="198" spans="2:4" s="661" customFormat="1" ht="21.75" customHeight="1">
      <c r="B198" s="701"/>
      <c r="C198" s="701"/>
      <c r="D198" s="702"/>
    </row>
    <row r="199" spans="2:4" s="661" customFormat="1" ht="21.75" customHeight="1">
      <c r="B199" s="701"/>
      <c r="C199" s="701"/>
      <c r="D199" s="702"/>
    </row>
    <row r="200" spans="2:4" s="661" customFormat="1" ht="21.75" customHeight="1">
      <c r="B200" s="701"/>
      <c r="C200" s="701"/>
      <c r="D200" s="702"/>
    </row>
    <row r="201" spans="2:4" s="661" customFormat="1" ht="21.75" customHeight="1">
      <c r="B201" s="701"/>
      <c r="C201" s="701"/>
      <c r="D201" s="702"/>
    </row>
    <row r="202" spans="2:4" s="661" customFormat="1" ht="21.75" customHeight="1">
      <c r="B202" s="701"/>
      <c r="C202" s="701"/>
      <c r="D202" s="702"/>
    </row>
    <row r="203" spans="2:4" s="661" customFormat="1" ht="21.75" customHeight="1">
      <c r="B203" s="701"/>
      <c r="C203" s="701"/>
      <c r="D203" s="702"/>
    </row>
    <row r="204" spans="2:4" s="661" customFormat="1" ht="21.75" customHeight="1">
      <c r="B204" s="701"/>
      <c r="C204" s="701"/>
      <c r="D204" s="702"/>
    </row>
    <row r="205" spans="2:4" s="661" customFormat="1" ht="21.75" customHeight="1">
      <c r="B205" s="701"/>
      <c r="C205" s="701"/>
      <c r="D205" s="702"/>
    </row>
    <row r="206" spans="2:4" s="661" customFormat="1" ht="21.75" customHeight="1">
      <c r="B206" s="701"/>
      <c r="C206" s="701"/>
      <c r="D206" s="702"/>
    </row>
    <row r="207" spans="2:4" s="661" customFormat="1" ht="21.75" customHeight="1">
      <c r="B207" s="701"/>
      <c r="C207" s="701"/>
      <c r="D207" s="702"/>
    </row>
    <row r="208" spans="2:4" s="661" customFormat="1" ht="21.75" customHeight="1">
      <c r="B208" s="701"/>
      <c r="C208" s="701"/>
      <c r="D208" s="702"/>
    </row>
    <row r="209" spans="2:4" s="661" customFormat="1" ht="21.75" customHeight="1">
      <c r="B209" s="701"/>
      <c r="C209" s="701"/>
      <c r="D209" s="702"/>
    </row>
    <row r="210" spans="2:4" s="661" customFormat="1" ht="21.75" customHeight="1">
      <c r="B210" s="701"/>
      <c r="C210" s="701"/>
      <c r="D210" s="702"/>
    </row>
    <row r="211" spans="2:4" s="661" customFormat="1" ht="21.75" customHeight="1">
      <c r="B211" s="701"/>
      <c r="C211" s="701"/>
      <c r="D211" s="702"/>
    </row>
    <row r="212" spans="2:4" s="661" customFormat="1" ht="21.75" customHeight="1">
      <c r="B212" s="701"/>
      <c r="C212" s="701"/>
      <c r="D212" s="702"/>
    </row>
    <row r="213" spans="2:4" s="661" customFormat="1" ht="21.75" customHeight="1">
      <c r="B213" s="701"/>
      <c r="C213" s="701"/>
      <c r="D213" s="702"/>
    </row>
    <row r="214" spans="2:4" s="661" customFormat="1" ht="21.75" customHeight="1">
      <c r="B214" s="701"/>
      <c r="C214" s="701"/>
      <c r="D214" s="702"/>
    </row>
    <row r="215" spans="2:4" s="661" customFormat="1" ht="21.75" customHeight="1">
      <c r="B215" s="701"/>
      <c r="C215" s="701"/>
      <c r="D215" s="702"/>
    </row>
  </sheetData>
  <mergeCells count="8">
    <mergeCell ref="A1:G1"/>
    <mergeCell ref="A2:G2"/>
    <mergeCell ref="F3:G3"/>
    <mergeCell ref="A4:G4"/>
    <mergeCell ref="A5:A6"/>
    <mergeCell ref="B5:C5"/>
    <mergeCell ref="D5:E5"/>
    <mergeCell ref="F5:G5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firstPageNumber="12" fitToHeight="0" orientation="landscape" useFirstPageNumber="1" r:id="rId1"/>
  <headerFooter alignWithMargins="0">
    <oddFooter>&amp;C&amp;P</oddFooter>
  </headerFooter>
  <rowBreaks count="2" manualBreakCount="2">
    <brk id="43" max="6" man="1"/>
    <brk id="63" max="6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FL133"/>
  <sheetViews>
    <sheetView view="pageBreakPreview" zoomScale="85" zoomScaleNormal="85" zoomScaleSheetLayoutView="85" workbookViewId="0">
      <selection activeCell="B20" sqref="B20"/>
    </sheetView>
  </sheetViews>
  <sheetFormatPr defaultColWidth="9" defaultRowHeight="21.75" customHeight="1"/>
  <cols>
    <col min="1" max="1" width="26.125" style="45" bestFit="1" customWidth="1"/>
    <col min="2" max="2" width="10.125" style="51" customWidth="1"/>
    <col min="3" max="3" width="7.875" style="46" customWidth="1"/>
    <col min="4" max="4" width="10.125" style="51" customWidth="1"/>
    <col min="5" max="5" width="7.875" style="46" customWidth="1"/>
    <col min="6" max="6" width="10.125" style="470" customWidth="1"/>
    <col min="7" max="7" width="7.875" style="47" customWidth="1"/>
    <col min="8" max="8" width="26.125" style="47" customWidth="1"/>
    <col min="9" max="9" width="10.125" style="51" customWidth="1"/>
    <col min="10" max="10" width="7.875" style="51" customWidth="1"/>
    <col min="11" max="11" width="10.125" style="52" customWidth="1"/>
    <col min="12" max="12" width="7.875" style="47" customWidth="1"/>
    <col min="13" max="13" width="10.125" style="51" customWidth="1"/>
    <col min="14" max="14" width="7.875" style="47" customWidth="1"/>
    <col min="15" max="16" width="11.375" style="45" bestFit="1" customWidth="1"/>
    <col min="17" max="17" width="9.875" style="45" bestFit="1" customWidth="1"/>
    <col min="18" max="18" width="9" style="45"/>
    <col min="19" max="16384" width="9" style="47"/>
  </cols>
  <sheetData>
    <row r="1" spans="1:168" s="2" customFormat="1" ht="34.5" customHeight="1">
      <c r="A1" s="1882" t="s">
        <v>2524</v>
      </c>
      <c r="B1" s="1882"/>
      <c r="C1" s="1882"/>
      <c r="D1" s="1882"/>
      <c r="E1" s="1882"/>
      <c r="F1" s="1882"/>
      <c r="G1" s="1882"/>
      <c r="H1" s="1882"/>
      <c r="I1" s="1882"/>
      <c r="J1" s="1882"/>
      <c r="K1" s="1882"/>
      <c r="L1" s="1882"/>
      <c r="M1" s="1882"/>
      <c r="N1" s="1882"/>
      <c r="O1" s="59"/>
      <c r="P1" s="59"/>
      <c r="Q1" s="59"/>
      <c r="R1" s="59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</row>
    <row r="2" spans="1:168" s="2" customFormat="1" ht="17.25" customHeight="1">
      <c r="A2" s="1905"/>
      <c r="B2" s="1905"/>
      <c r="C2" s="1905"/>
      <c r="D2" s="1905"/>
      <c r="E2" s="1905"/>
      <c r="F2" s="1905"/>
      <c r="G2" s="1905"/>
      <c r="H2" s="1905"/>
      <c r="I2" s="1905"/>
      <c r="J2" s="1905"/>
      <c r="K2" s="1905"/>
      <c r="L2" s="1905"/>
      <c r="M2" s="1905"/>
      <c r="N2" s="1905"/>
      <c r="O2" s="59"/>
      <c r="P2" s="59"/>
      <c r="Q2" s="59"/>
      <c r="R2" s="59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</row>
    <row r="3" spans="1:168" s="2" customFormat="1" ht="21.75" customHeight="1" thickBot="1">
      <c r="A3" s="1906"/>
      <c r="B3" s="1906"/>
      <c r="C3" s="1906"/>
      <c r="D3" s="467"/>
      <c r="E3" s="3"/>
      <c r="F3" s="468"/>
      <c r="G3" s="403"/>
      <c r="H3" s="1"/>
      <c r="I3" s="474"/>
      <c r="J3" s="1"/>
      <c r="K3" s="474"/>
      <c r="L3" s="1"/>
      <c r="M3" s="1907" t="s">
        <v>49</v>
      </c>
      <c r="N3" s="1907"/>
      <c r="O3" s="60"/>
      <c r="P3" s="59"/>
      <c r="Q3" s="59"/>
      <c r="R3" s="59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</row>
    <row r="4" spans="1:168" s="2" customFormat="1" ht="20.100000000000001" customHeight="1">
      <c r="A4" s="1895" t="s">
        <v>79</v>
      </c>
      <c r="B4" s="1896"/>
      <c r="C4" s="1896"/>
      <c r="D4" s="1896"/>
      <c r="E4" s="1896"/>
      <c r="F4" s="1896"/>
      <c r="G4" s="1908"/>
      <c r="H4" s="1909" t="s">
        <v>50</v>
      </c>
      <c r="I4" s="1910"/>
      <c r="J4" s="1910"/>
      <c r="K4" s="1910"/>
      <c r="L4" s="1910"/>
      <c r="M4" s="1910"/>
      <c r="N4" s="1911"/>
      <c r="O4" s="60"/>
      <c r="P4" s="59"/>
      <c r="Q4" s="59"/>
      <c r="R4" s="59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</row>
    <row r="5" spans="1:168" s="5" customFormat="1" ht="20.100000000000001" customHeight="1">
      <c r="A5" s="1914" t="s">
        <v>51</v>
      </c>
      <c r="B5" s="1916" t="s">
        <v>1619</v>
      </c>
      <c r="C5" s="1916"/>
      <c r="D5" s="1916" t="s">
        <v>1622</v>
      </c>
      <c r="E5" s="1916"/>
      <c r="F5" s="1916" t="s">
        <v>2557</v>
      </c>
      <c r="G5" s="1917"/>
      <c r="H5" s="1918" t="str">
        <f>A5</f>
        <v>예산과목</v>
      </c>
      <c r="I5" s="1912" t="str">
        <f>B5</f>
        <v>2018년예산액(A)</v>
      </c>
      <c r="J5" s="1912"/>
      <c r="K5" s="1912" t="str">
        <f>D5</f>
        <v>2017년예산액(B)</v>
      </c>
      <c r="L5" s="1912"/>
      <c r="M5" s="1912" t="s">
        <v>2556</v>
      </c>
      <c r="N5" s="1913"/>
      <c r="O5" s="61"/>
      <c r="P5" s="61"/>
      <c r="Q5" s="61"/>
      <c r="R5" s="61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</row>
    <row r="6" spans="1:168" s="5" customFormat="1" ht="20.100000000000001" customHeight="1">
      <c r="A6" s="1915"/>
      <c r="B6" s="1733" t="s">
        <v>55</v>
      </c>
      <c r="C6" s="1734" t="s">
        <v>54</v>
      </c>
      <c r="D6" s="1733" t="s">
        <v>55</v>
      </c>
      <c r="E6" s="1734" t="s">
        <v>54</v>
      </c>
      <c r="F6" s="1733" t="s">
        <v>55</v>
      </c>
      <c r="G6" s="1735" t="s">
        <v>56</v>
      </c>
      <c r="H6" s="1919"/>
      <c r="I6" s="788" t="s">
        <v>55</v>
      </c>
      <c r="J6" s="789" t="s">
        <v>54</v>
      </c>
      <c r="K6" s="788" t="s">
        <v>55</v>
      </c>
      <c r="L6" s="789" t="s">
        <v>54</v>
      </c>
      <c r="M6" s="788" t="s">
        <v>55</v>
      </c>
      <c r="N6" s="790" t="s">
        <v>56</v>
      </c>
      <c r="O6" s="61"/>
      <c r="P6" s="61"/>
      <c r="Q6" s="61"/>
      <c r="R6" s="61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</row>
    <row r="7" spans="1:168" s="5" customFormat="1" ht="30.75" customHeight="1">
      <c r="A7" s="609" t="s">
        <v>85</v>
      </c>
      <c r="B7" s="610">
        <f>SUM(B8,B15)</f>
        <v>8717874000</v>
      </c>
      <c r="C7" s="611">
        <f>+C8+C15</f>
        <v>1</v>
      </c>
      <c r="D7" s="610">
        <f>SUM(D8,D15)</f>
        <v>5825281000</v>
      </c>
      <c r="E7" s="611">
        <f>+E8+E15</f>
        <v>1</v>
      </c>
      <c r="F7" s="610">
        <f t="shared" ref="F7:F12" si="0">+B7-D7</f>
        <v>2892593000</v>
      </c>
      <c r="G7" s="791">
        <f>+F7/D7</f>
        <v>0.49655853511616005</v>
      </c>
      <c r="H7" s="792" t="str">
        <f>A7</f>
        <v>총      계</v>
      </c>
      <c r="I7" s="610">
        <f>SUM(I8,I15)</f>
        <v>8717874000</v>
      </c>
      <c r="J7" s="611">
        <f>+J8+J15</f>
        <v>1</v>
      </c>
      <c r="K7" s="610">
        <f>SUM(K8,K15)</f>
        <v>5825281000</v>
      </c>
      <c r="L7" s="611">
        <f>+L8+L15</f>
        <v>1</v>
      </c>
      <c r="M7" s="610">
        <f t="shared" ref="M7:M20" si="1">+I7-K7</f>
        <v>2892593000</v>
      </c>
      <c r="N7" s="612">
        <f>+M7/K7</f>
        <v>0.49655853511616005</v>
      </c>
      <c r="O7" s="61"/>
      <c r="P7" s="61"/>
      <c r="Q7" s="61"/>
      <c r="R7" s="61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</row>
    <row r="8" spans="1:168" s="5" customFormat="1" ht="30.75" customHeight="1">
      <c r="A8" s="613" t="s">
        <v>485</v>
      </c>
      <c r="B8" s="614">
        <f>SUM(B9:B14)</f>
        <v>6304332000</v>
      </c>
      <c r="C8" s="1787">
        <f t="shared" ref="C8" si="2">+B8/$B$7</f>
        <v>0.72315016252815767</v>
      </c>
      <c r="D8" s="614">
        <f>SUM(D9:D14)</f>
        <v>4411881000</v>
      </c>
      <c r="E8" s="1787">
        <f>+D8/$D$7</f>
        <v>0.75736792783043427</v>
      </c>
      <c r="F8" s="614">
        <f t="shared" si="0"/>
        <v>1892451000</v>
      </c>
      <c r="G8" s="793">
        <f>+F8/D8</f>
        <v>0.42894425302949013</v>
      </c>
      <c r="H8" s="794" t="s">
        <v>2558</v>
      </c>
      <c r="I8" s="614">
        <f>SUM(I9:I14)</f>
        <v>6299764000</v>
      </c>
      <c r="J8" s="615">
        <f>+I8/I7</f>
        <v>0.72262618156674441</v>
      </c>
      <c r="K8" s="614">
        <f>SUM(K9:K14)</f>
        <v>4404978000</v>
      </c>
      <c r="L8" s="615">
        <f>+K8/K7</f>
        <v>0.75618292061790671</v>
      </c>
      <c r="M8" s="614">
        <f t="shared" si="1"/>
        <v>1894786000</v>
      </c>
      <c r="N8" s="616">
        <f>+M8/K8</f>
        <v>0.43014652967619815</v>
      </c>
      <c r="O8" s="61"/>
      <c r="P8" s="61"/>
      <c r="Q8" s="61"/>
      <c r="R8" s="61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</row>
    <row r="9" spans="1:168" s="12" customFormat="1" ht="30.75" customHeight="1">
      <c r="A9" s="795" t="s">
        <v>20</v>
      </c>
      <c r="B9" s="675">
        <f>세입예산총괄표2!B9</f>
        <v>4598613000</v>
      </c>
      <c r="C9" s="796">
        <f>+B9/$B$7</f>
        <v>0.52749248268557214</v>
      </c>
      <c r="D9" s="797">
        <f>세입예산총괄표2!D9</f>
        <v>2265578000</v>
      </c>
      <c r="E9" s="796">
        <f>+D9/$D$7</f>
        <v>0.3889216674697753</v>
      </c>
      <c r="F9" s="797">
        <f t="shared" si="0"/>
        <v>2333035000</v>
      </c>
      <c r="G9" s="798">
        <f>+F9/D9</f>
        <v>1.0297747418098162</v>
      </c>
      <c r="H9" s="799" t="s">
        <v>58</v>
      </c>
      <c r="I9" s="797">
        <f>세출총괄표4!B9</f>
        <v>3051022000</v>
      </c>
      <c r="J9" s="796">
        <f t="shared" ref="J9:J20" si="3">+I9/$I$7</f>
        <v>0.34997317006416934</v>
      </c>
      <c r="K9" s="797">
        <f>세출총괄표4!D9</f>
        <v>2297396000</v>
      </c>
      <c r="L9" s="796">
        <f t="shared" ref="L9:L16" si="4">+K9/$K$7</f>
        <v>0.39438372157497636</v>
      </c>
      <c r="M9" s="797">
        <f t="shared" si="1"/>
        <v>753626000</v>
      </c>
      <c r="N9" s="800">
        <f>+M9/K9</f>
        <v>0.32803487078413995</v>
      </c>
      <c r="O9" s="62"/>
      <c r="P9" s="62"/>
      <c r="Q9" s="62"/>
      <c r="R9" s="62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</row>
    <row r="10" spans="1:168" s="5" customFormat="1" ht="30.75" customHeight="1">
      <c r="A10" s="801" t="s">
        <v>29</v>
      </c>
      <c r="B10" s="627">
        <f>세입예산총괄표2!B17</f>
        <v>1401151000</v>
      </c>
      <c r="C10" s="636">
        <f>+B10/$B$7</f>
        <v>0.16072163924369634</v>
      </c>
      <c r="D10" s="627">
        <f>세입예산총괄표2!D17</f>
        <v>2057875000</v>
      </c>
      <c r="E10" s="802">
        <f t="shared" ref="E10:E12" si="5">+D10/$D$7</f>
        <v>0.35326622011882347</v>
      </c>
      <c r="F10" s="627">
        <f t="shared" si="0"/>
        <v>-656724000</v>
      </c>
      <c r="G10" s="803">
        <f>+F10/D10</f>
        <v>-0.31912725505679401</v>
      </c>
      <c r="H10" s="804" t="s">
        <v>59</v>
      </c>
      <c r="I10" s="627">
        <f>세출총괄표4!B22</f>
        <v>1303908000</v>
      </c>
      <c r="J10" s="636">
        <f t="shared" si="3"/>
        <v>0.14956719952593947</v>
      </c>
      <c r="K10" s="627">
        <f>세출총괄표4!D22</f>
        <v>912749000</v>
      </c>
      <c r="L10" s="636">
        <f t="shared" si="4"/>
        <v>0.15668754863499287</v>
      </c>
      <c r="M10" s="627">
        <f t="shared" si="1"/>
        <v>391159000</v>
      </c>
      <c r="N10" s="637">
        <f t="shared" ref="N10:N20" si="6">+M10/K10</f>
        <v>0.42855045582082257</v>
      </c>
      <c r="O10" s="62"/>
      <c r="P10" s="62"/>
      <c r="Q10" s="62"/>
      <c r="R10" s="62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</row>
    <row r="11" spans="1:168" s="5" customFormat="1" ht="30.75" customHeight="1">
      <c r="A11" s="801" t="s">
        <v>31</v>
      </c>
      <c r="B11" s="627">
        <f>세입예산총괄표2!B27</f>
        <v>2160000</v>
      </c>
      <c r="C11" s="636">
        <f t="shared" ref="C11:C12" si="7">+B11/$B$7</f>
        <v>2.4776682938982598E-4</v>
      </c>
      <c r="D11" s="627">
        <f>세입예산총괄표2!D27</f>
        <v>5003000</v>
      </c>
      <c r="E11" s="802">
        <f t="shared" si="5"/>
        <v>8.5884268930546011E-4</v>
      </c>
      <c r="F11" s="627">
        <f t="shared" si="0"/>
        <v>-2843000</v>
      </c>
      <c r="G11" s="803">
        <f>+F11/D11</f>
        <v>-0.56825904457325604</v>
      </c>
      <c r="H11" s="804" t="s">
        <v>60</v>
      </c>
      <c r="I11" s="627">
        <f>세출총괄표4!B35</f>
        <v>1455137000</v>
      </c>
      <c r="J11" s="636">
        <f>+I11/$I$7</f>
        <v>0.16691420408232557</v>
      </c>
      <c r="K11" s="627">
        <f>세출총괄표4!D35</f>
        <v>1161504000</v>
      </c>
      <c r="L11" s="636">
        <f t="shared" si="4"/>
        <v>0.19939020967400542</v>
      </c>
      <c r="M11" s="627">
        <f t="shared" si="1"/>
        <v>293633000</v>
      </c>
      <c r="N11" s="637">
        <f t="shared" si="6"/>
        <v>0.25280412293026971</v>
      </c>
      <c r="O11" s="62"/>
      <c r="P11" s="62"/>
      <c r="Q11" s="62"/>
      <c r="R11" s="62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</row>
    <row r="12" spans="1:168" s="5" customFormat="1" ht="30.75" customHeight="1">
      <c r="A12" s="801" t="s">
        <v>2181</v>
      </c>
      <c r="B12" s="627">
        <f>세입예산총괄표2!B40</f>
        <v>2408000</v>
      </c>
      <c r="C12" s="636">
        <f t="shared" si="7"/>
        <v>2.7621413202347272E-4</v>
      </c>
      <c r="D12" s="627">
        <f>세입예산총괄표2!D40</f>
        <v>2100000</v>
      </c>
      <c r="E12" s="802">
        <f t="shared" si="5"/>
        <v>3.6049763092973542E-4</v>
      </c>
      <c r="F12" s="627">
        <f t="shared" si="0"/>
        <v>308000</v>
      </c>
      <c r="G12" s="803">
        <f t="shared" ref="G12:G13" si="8">+F12/D12</f>
        <v>0.14666666666666667</v>
      </c>
      <c r="H12" s="804" t="s">
        <v>61</v>
      </c>
      <c r="I12" s="627">
        <f>세출총괄표4!B47</f>
        <v>378249000</v>
      </c>
      <c r="J12" s="636">
        <f>+I12/$I$7</f>
        <v>4.3387757152718656E-2</v>
      </c>
      <c r="K12" s="627">
        <f>세출총괄표4!D47</f>
        <v>12500000</v>
      </c>
      <c r="L12" s="636">
        <f t="shared" si="4"/>
        <v>2.1458192317246154E-3</v>
      </c>
      <c r="M12" s="627">
        <f t="shared" si="1"/>
        <v>365749000</v>
      </c>
      <c r="N12" s="637">
        <f t="shared" si="6"/>
        <v>29.259920000000001</v>
      </c>
      <c r="O12" s="62"/>
      <c r="P12" s="62"/>
      <c r="Q12" s="62"/>
      <c r="R12" s="62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</row>
    <row r="13" spans="1:168" s="5" customFormat="1" ht="30.75" customHeight="1">
      <c r="A13" s="801" t="s">
        <v>32</v>
      </c>
      <c r="B13" s="627">
        <f>세입예산총괄표2!B42</f>
        <v>300000000</v>
      </c>
      <c r="C13" s="636">
        <f t="shared" ref="C13" si="9">+B13/$B$7</f>
        <v>3.4412059637475831E-2</v>
      </c>
      <c r="D13" s="627">
        <f>세입예산총괄표2!D42</f>
        <v>81325000</v>
      </c>
      <c r="E13" s="802">
        <f t="shared" ref="E13" si="10">+D13/$D$7</f>
        <v>1.3960699921600348E-2</v>
      </c>
      <c r="F13" s="627">
        <f t="shared" ref="F13" si="11">+B13-D13</f>
        <v>218675000</v>
      </c>
      <c r="G13" s="803">
        <f t="shared" si="8"/>
        <v>2.6889025514909313</v>
      </c>
      <c r="H13" s="804" t="s">
        <v>2185</v>
      </c>
      <c r="I13" s="627">
        <f>세출총괄표4!B53</f>
        <v>91448000</v>
      </c>
      <c r="J13" s="636">
        <f>+I13/$I$7</f>
        <v>1.0489713432426301E-2</v>
      </c>
      <c r="K13" s="627">
        <f>세출총괄표4!D53</f>
        <v>17500000</v>
      </c>
      <c r="L13" s="636">
        <f t="shared" si="4"/>
        <v>3.0041469244144617E-3</v>
      </c>
      <c r="M13" s="627">
        <f t="shared" si="1"/>
        <v>73948000</v>
      </c>
      <c r="N13" s="637">
        <f t="shared" si="6"/>
        <v>4.2256</v>
      </c>
      <c r="O13" s="62"/>
      <c r="P13" s="62"/>
      <c r="Q13" s="62"/>
      <c r="R13" s="62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</row>
    <row r="14" spans="1:168" s="5" customFormat="1" ht="30.75" customHeight="1">
      <c r="A14" s="805"/>
      <c r="B14" s="643"/>
      <c r="C14" s="644"/>
      <c r="D14" s="643"/>
      <c r="E14" s="806"/>
      <c r="F14" s="643"/>
      <c r="G14" s="807"/>
      <c r="H14" s="808" t="s">
        <v>62</v>
      </c>
      <c r="I14" s="643">
        <f>세출총괄표4!B55</f>
        <v>20000000</v>
      </c>
      <c r="J14" s="644">
        <f>+I14/$I$7</f>
        <v>2.2941373091650554E-3</v>
      </c>
      <c r="K14" s="643">
        <f>세출총괄표4!D55</f>
        <v>3329000</v>
      </c>
      <c r="L14" s="644">
        <f t="shared" si="4"/>
        <v>5.7147457779289956E-4</v>
      </c>
      <c r="M14" s="643">
        <f t="shared" si="1"/>
        <v>16671000</v>
      </c>
      <c r="N14" s="645">
        <f t="shared" si="6"/>
        <v>5.0078101531991592</v>
      </c>
      <c r="O14" s="62"/>
      <c r="P14" s="62"/>
      <c r="Q14" s="62"/>
      <c r="R14" s="62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</row>
    <row r="15" spans="1:168" s="5" customFormat="1" ht="30.75" customHeight="1">
      <c r="A15" s="809" t="s">
        <v>86</v>
      </c>
      <c r="B15" s="810">
        <f>SUM(B16:B20)</f>
        <v>2413542000</v>
      </c>
      <c r="C15" s="811">
        <f t="shared" ref="C15:C20" si="12">+B15/$B$7</f>
        <v>0.27684983747184233</v>
      </c>
      <c r="D15" s="810">
        <f>SUM(D16:D20)</f>
        <v>1413400000</v>
      </c>
      <c r="E15" s="811">
        <f t="shared" ref="E15:E20" si="13">+D15/$D$7</f>
        <v>0.24263207216956573</v>
      </c>
      <c r="F15" s="810">
        <f t="shared" ref="F15:F20" si="14">+B15-D15</f>
        <v>1000142000</v>
      </c>
      <c r="G15" s="812">
        <f>+F15/D15</f>
        <v>0.70761426347813783</v>
      </c>
      <c r="H15" s="813" t="s">
        <v>87</v>
      </c>
      <c r="I15" s="810">
        <f>SUM(I16:I20)</f>
        <v>2418110000</v>
      </c>
      <c r="J15" s="811">
        <f t="shared" si="3"/>
        <v>0.27737381843325565</v>
      </c>
      <c r="K15" s="810">
        <f>SUM(K16:K20)</f>
        <v>1420303000</v>
      </c>
      <c r="L15" s="811">
        <f t="shared" si="4"/>
        <v>0.24381707938209332</v>
      </c>
      <c r="M15" s="810">
        <f t="shared" si="1"/>
        <v>997807000</v>
      </c>
      <c r="N15" s="814">
        <f t="shared" si="6"/>
        <v>0.70253107963582417</v>
      </c>
      <c r="O15" s="62"/>
      <c r="P15" s="62"/>
      <c r="Q15" s="62"/>
      <c r="R15" s="62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</row>
    <row r="16" spans="1:168" s="5" customFormat="1" ht="30.75" customHeight="1">
      <c r="A16" s="815" t="s">
        <v>35</v>
      </c>
      <c r="B16" s="797">
        <f>세입예산총괄표2!B45</f>
        <v>2002770000</v>
      </c>
      <c r="C16" s="816">
        <f t="shared" si="12"/>
        <v>0.22973146893382493</v>
      </c>
      <c r="D16" s="797">
        <f>세입예산총괄표2!D45</f>
        <v>1078032000</v>
      </c>
      <c r="E16" s="816">
        <f t="shared" si="13"/>
        <v>0.18506094384116406</v>
      </c>
      <c r="F16" s="797">
        <f t="shared" si="14"/>
        <v>924738000</v>
      </c>
      <c r="G16" s="817">
        <f>+F16/D16</f>
        <v>0.85780199474598162</v>
      </c>
      <c r="H16" s="799" t="s">
        <v>58</v>
      </c>
      <c r="I16" s="797">
        <f>세출총괄표4!B59</f>
        <v>287290000</v>
      </c>
      <c r="J16" s="796">
        <f>+I16/$I$7</f>
        <v>3.2954135377501442E-2</v>
      </c>
      <c r="K16" s="797">
        <f>세출총괄표4!D59</f>
        <v>220537000</v>
      </c>
      <c r="L16" s="796">
        <f t="shared" si="4"/>
        <v>3.7858602872548122E-2</v>
      </c>
      <c r="M16" s="797">
        <f t="shared" si="1"/>
        <v>66753000</v>
      </c>
      <c r="N16" s="800">
        <f t="shared" si="6"/>
        <v>0.30268390338129203</v>
      </c>
      <c r="O16" s="62"/>
      <c r="P16" s="62"/>
      <c r="Q16" s="62"/>
      <c r="R16" s="62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</row>
    <row r="17" spans="1:168" s="5" customFormat="1" ht="30.75" customHeight="1">
      <c r="A17" s="684" t="s">
        <v>37</v>
      </c>
      <c r="B17" s="685">
        <f>세입예산총괄표2!B54</f>
        <v>33760000</v>
      </c>
      <c r="C17" s="686">
        <f t="shared" si="12"/>
        <v>3.8725037778706141E-3</v>
      </c>
      <c r="D17" s="685">
        <f>세입예산총괄표2!D54</f>
        <v>33960000</v>
      </c>
      <c r="E17" s="818">
        <f t="shared" si="13"/>
        <v>5.8297616887494352E-3</v>
      </c>
      <c r="F17" s="685">
        <f t="shared" si="14"/>
        <v>-200000</v>
      </c>
      <c r="G17" s="819">
        <f t="shared" ref="G17:G20" si="15">+F17/D17</f>
        <v>-5.8892815076560662E-3</v>
      </c>
      <c r="H17" s="820" t="s">
        <v>59</v>
      </c>
      <c r="I17" s="685">
        <f>세출총괄표4!B66</f>
        <v>455392000</v>
      </c>
      <c r="J17" s="686">
        <f t="shared" si="3"/>
        <v>5.223658887476465E-2</v>
      </c>
      <c r="K17" s="685">
        <f>세출총괄표4!D66</f>
        <v>314206000</v>
      </c>
      <c r="L17" s="686">
        <f>+K17/$K$7</f>
        <v>5.3938342201861167E-2</v>
      </c>
      <c r="M17" s="685">
        <f t="shared" si="1"/>
        <v>141186000</v>
      </c>
      <c r="N17" s="640">
        <f t="shared" si="6"/>
        <v>0.44934215132747307</v>
      </c>
      <c r="O17" s="62"/>
      <c r="P17" s="62"/>
      <c r="Q17" s="62"/>
      <c r="R17" s="62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</row>
    <row r="18" spans="1:168" s="5" customFormat="1" ht="30.75" customHeight="1">
      <c r="A18" s="684" t="s">
        <v>38</v>
      </c>
      <c r="B18" s="685">
        <f>세입예산총괄표2!B61</f>
        <v>220002000</v>
      </c>
      <c r="C18" s="686">
        <f t="shared" si="12"/>
        <v>2.5235739814546528E-2</v>
      </c>
      <c r="D18" s="685">
        <f>세입예산총괄표2!D61</f>
        <v>143787000</v>
      </c>
      <c r="E18" s="818">
        <f t="shared" si="13"/>
        <v>2.4683272789758983E-2</v>
      </c>
      <c r="F18" s="685">
        <f t="shared" si="14"/>
        <v>76215000</v>
      </c>
      <c r="G18" s="819">
        <f t="shared" si="15"/>
        <v>0.53005487283273178</v>
      </c>
      <c r="H18" s="820" t="s">
        <v>73</v>
      </c>
      <c r="I18" s="685">
        <f>세출총괄표4!B77</f>
        <v>1590274000</v>
      </c>
      <c r="J18" s="686">
        <f t="shared" si="3"/>
        <v>0.18241534575975749</v>
      </c>
      <c r="K18" s="685">
        <f>세출총괄표4!D77</f>
        <v>827450000</v>
      </c>
      <c r="L18" s="686">
        <f>+K18/$K$7</f>
        <v>0.14204464986324264</v>
      </c>
      <c r="M18" s="685">
        <f t="shared" si="1"/>
        <v>762824000</v>
      </c>
      <c r="N18" s="640">
        <f t="shared" si="6"/>
        <v>0.92189739561302797</v>
      </c>
      <c r="O18" s="62"/>
      <c r="P18" s="62"/>
      <c r="Q18" s="62"/>
      <c r="R18" s="62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</row>
    <row r="19" spans="1:168" s="5" customFormat="1" ht="30.75" customHeight="1">
      <c r="A19" s="684" t="s">
        <v>2182</v>
      </c>
      <c r="B19" s="685">
        <f>세입예산총괄표2!B68</f>
        <v>107010000</v>
      </c>
      <c r="C19" s="686">
        <f t="shared" si="12"/>
        <v>1.227478167268763E-2</v>
      </c>
      <c r="D19" s="685">
        <f>세입예산총괄표2!D68</f>
        <v>107621000</v>
      </c>
      <c r="E19" s="818">
        <f t="shared" si="13"/>
        <v>1.8474816922994786E-2</v>
      </c>
      <c r="F19" s="685">
        <f t="shared" si="14"/>
        <v>-611000</v>
      </c>
      <c r="G19" s="819">
        <f t="shared" si="15"/>
        <v>-5.6773306324973752E-3</v>
      </c>
      <c r="H19" s="820" t="s">
        <v>1405</v>
      </c>
      <c r="I19" s="685">
        <f>세출총괄표4!B83</f>
        <v>85154000</v>
      </c>
      <c r="J19" s="686">
        <f t="shared" si="3"/>
        <v>9.7677484212320576E-3</v>
      </c>
      <c r="K19" s="685">
        <f>세출총괄표4!D83</f>
        <v>0</v>
      </c>
      <c r="L19" s="686">
        <f>+K19/$K$7</f>
        <v>0</v>
      </c>
      <c r="M19" s="685">
        <f t="shared" si="1"/>
        <v>85154000</v>
      </c>
      <c r="N19" s="640">
        <v>1</v>
      </c>
      <c r="O19" s="62"/>
      <c r="P19" s="62"/>
      <c r="Q19" s="62"/>
      <c r="R19" s="62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</row>
    <row r="20" spans="1:168" s="5" customFormat="1" ht="30.75" customHeight="1" thickBot="1">
      <c r="A20" s="696" t="s">
        <v>84</v>
      </c>
      <c r="B20" s="697">
        <f>세입예산총괄표2!B75</f>
        <v>50000000</v>
      </c>
      <c r="C20" s="698">
        <f t="shared" si="12"/>
        <v>5.7353432729126391E-3</v>
      </c>
      <c r="D20" s="697">
        <f>세입예산총괄표2!D75</f>
        <v>50000000</v>
      </c>
      <c r="E20" s="821">
        <f t="shared" si="13"/>
        <v>8.5832769268984616E-3</v>
      </c>
      <c r="F20" s="697">
        <f t="shared" si="14"/>
        <v>0</v>
      </c>
      <c r="G20" s="822">
        <f t="shared" si="15"/>
        <v>0</v>
      </c>
      <c r="H20" s="823" t="s">
        <v>62</v>
      </c>
      <c r="I20" s="697">
        <f>세출총괄표4!B96</f>
        <v>0</v>
      </c>
      <c r="J20" s="698">
        <f t="shared" si="3"/>
        <v>0</v>
      </c>
      <c r="K20" s="697">
        <f>세출총괄표4!D96</f>
        <v>58110000</v>
      </c>
      <c r="L20" s="698">
        <f>+K20/$K$7</f>
        <v>9.9754844444413932E-3</v>
      </c>
      <c r="M20" s="697">
        <f t="shared" si="1"/>
        <v>-58110000</v>
      </c>
      <c r="N20" s="700">
        <f t="shared" si="6"/>
        <v>-1</v>
      </c>
      <c r="O20" s="62"/>
      <c r="P20" s="62"/>
      <c r="Q20" s="62"/>
      <c r="R20" s="62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</row>
    <row r="21" spans="1:168" s="40" customFormat="1" ht="16.5">
      <c r="A21" s="43"/>
      <c r="B21" s="48"/>
      <c r="C21" s="44"/>
      <c r="D21" s="48"/>
      <c r="E21" s="44"/>
      <c r="F21" s="469"/>
      <c r="I21" s="48"/>
      <c r="J21" s="50"/>
      <c r="K21" s="49"/>
      <c r="M21" s="48"/>
      <c r="O21" s="43"/>
      <c r="P21" s="43"/>
      <c r="Q21" s="43"/>
      <c r="R21" s="43"/>
    </row>
    <row r="22" spans="1:168" s="40" customFormat="1" ht="15.75">
      <c r="A22" s="43"/>
      <c r="B22" s="462"/>
      <c r="C22" s="462"/>
      <c r="D22" s="462"/>
      <c r="E22" s="44"/>
      <c r="F22" s="469"/>
      <c r="I22" s="48"/>
      <c r="J22" s="48"/>
      <c r="K22" s="49"/>
      <c r="M22" s="48"/>
      <c r="O22" s="43"/>
      <c r="P22" s="43"/>
      <c r="Q22" s="43"/>
      <c r="R22" s="43"/>
    </row>
    <row r="23" spans="1:168" s="40" customFormat="1" ht="15.75">
      <c r="A23" s="43"/>
      <c r="B23" s="476"/>
      <c r="C23" s="44"/>
      <c r="D23" s="48"/>
      <c r="E23" s="44"/>
      <c r="F23" s="469"/>
      <c r="I23" s="48"/>
      <c r="J23" s="48"/>
      <c r="K23" s="49"/>
      <c r="M23" s="48"/>
      <c r="O23" s="43"/>
      <c r="P23" s="43"/>
      <c r="Q23" s="43"/>
      <c r="R23" s="43"/>
    </row>
    <row r="24" spans="1:168" s="40" customFormat="1" ht="15.75">
      <c r="A24" s="43"/>
      <c r="B24" s="48"/>
      <c r="C24" s="44"/>
      <c r="D24" s="48"/>
      <c r="E24" s="44"/>
      <c r="F24" s="469"/>
      <c r="I24" s="48"/>
      <c r="J24" s="48"/>
      <c r="K24" s="49"/>
      <c r="M24" s="48"/>
      <c r="O24" s="43"/>
      <c r="P24" s="43"/>
      <c r="Q24" s="43"/>
      <c r="R24" s="43"/>
    </row>
    <row r="25" spans="1:168" s="40" customFormat="1" ht="15.75">
      <c r="B25" s="48"/>
      <c r="D25" s="475"/>
      <c r="E25" s="43"/>
      <c r="F25" s="475"/>
      <c r="G25" s="43"/>
      <c r="I25" s="48"/>
      <c r="K25" s="48"/>
      <c r="M25" s="48"/>
      <c r="O25" s="43"/>
      <c r="P25" s="43"/>
      <c r="Q25" s="43"/>
      <c r="R25" s="43"/>
    </row>
    <row r="26" spans="1:168" s="40" customFormat="1" ht="15.75">
      <c r="B26" s="48"/>
      <c r="D26" s="475"/>
      <c r="E26" s="43"/>
      <c r="F26" s="475"/>
      <c r="G26" s="43"/>
      <c r="I26" s="48"/>
      <c r="K26" s="48"/>
      <c r="M26" s="48"/>
      <c r="O26" s="43"/>
      <c r="P26" s="43"/>
      <c r="Q26" s="43"/>
      <c r="R26" s="43"/>
    </row>
    <row r="27" spans="1:168" s="40" customFormat="1" ht="15.75">
      <c r="B27" s="48"/>
      <c r="D27" s="475"/>
      <c r="E27" s="43"/>
      <c r="F27" s="475"/>
      <c r="G27" s="43"/>
      <c r="I27" s="48"/>
      <c r="K27" s="48"/>
      <c r="M27" s="48"/>
      <c r="O27" s="43"/>
      <c r="P27" s="43"/>
      <c r="Q27" s="43"/>
      <c r="R27" s="43"/>
    </row>
    <row r="28" spans="1:168" s="40" customFormat="1" ht="15.75">
      <c r="B28" s="48"/>
      <c r="D28" s="475"/>
      <c r="E28" s="43"/>
      <c r="F28" s="475"/>
      <c r="G28" s="43"/>
      <c r="I28" s="48"/>
      <c r="K28" s="48"/>
      <c r="M28" s="48"/>
      <c r="O28" s="43"/>
      <c r="P28" s="43"/>
      <c r="Q28" s="43"/>
      <c r="R28" s="43"/>
    </row>
    <row r="29" spans="1:168" s="40" customFormat="1" ht="15.75">
      <c r="B29" s="48"/>
      <c r="D29" s="475"/>
      <c r="E29" s="43"/>
      <c r="F29" s="475"/>
      <c r="G29" s="43"/>
      <c r="I29" s="48"/>
      <c r="K29" s="48"/>
      <c r="M29" s="48"/>
      <c r="O29" s="43"/>
      <c r="P29" s="43"/>
      <c r="Q29" s="43"/>
      <c r="R29" s="43"/>
    </row>
    <row r="30" spans="1:168" s="40" customFormat="1" ht="15.75">
      <c r="B30" s="48"/>
      <c r="D30" s="475"/>
      <c r="E30" s="43"/>
      <c r="F30" s="475"/>
      <c r="G30" s="43"/>
      <c r="I30" s="48"/>
      <c r="K30" s="48"/>
      <c r="M30" s="48"/>
      <c r="O30" s="43"/>
      <c r="P30" s="43"/>
      <c r="Q30" s="43"/>
      <c r="R30" s="43"/>
    </row>
    <row r="31" spans="1:168" s="40" customFormat="1" ht="15.75">
      <c r="B31" s="48"/>
      <c r="D31" s="475"/>
      <c r="E31" s="43"/>
      <c r="F31" s="475"/>
      <c r="G31" s="43"/>
      <c r="I31" s="48"/>
      <c r="K31" s="48"/>
      <c r="M31" s="48"/>
      <c r="O31" s="43"/>
      <c r="P31" s="43"/>
      <c r="Q31" s="43"/>
      <c r="R31" s="43"/>
    </row>
    <row r="32" spans="1:168" s="40" customFormat="1" ht="15.75">
      <c r="A32" s="43"/>
      <c r="B32" s="48"/>
      <c r="C32" s="44"/>
      <c r="D32" s="48"/>
      <c r="E32" s="44"/>
      <c r="F32" s="469"/>
      <c r="I32" s="48"/>
      <c r="J32" s="48"/>
      <c r="K32" s="49"/>
      <c r="M32" s="48"/>
      <c r="O32" s="43"/>
      <c r="P32" s="43"/>
      <c r="Q32" s="43"/>
      <c r="R32" s="43"/>
    </row>
    <row r="33" spans="1:18" s="40" customFormat="1" ht="15.75">
      <c r="A33" s="43"/>
      <c r="B33" s="48"/>
      <c r="C33" s="44"/>
      <c r="D33" s="48"/>
      <c r="E33" s="44"/>
      <c r="F33" s="469"/>
      <c r="I33" s="48"/>
      <c r="J33" s="48"/>
      <c r="K33" s="49"/>
      <c r="M33" s="48"/>
      <c r="O33" s="43"/>
      <c r="P33" s="43"/>
      <c r="Q33" s="43"/>
      <c r="R33" s="43"/>
    </row>
    <row r="34" spans="1:18" s="40" customFormat="1" ht="15.75">
      <c r="A34" s="43"/>
      <c r="B34" s="48"/>
      <c r="C34" s="44"/>
      <c r="D34" s="48"/>
      <c r="E34" s="44"/>
      <c r="F34" s="469"/>
      <c r="I34" s="48"/>
      <c r="J34" s="48"/>
      <c r="K34" s="49"/>
      <c r="M34" s="48"/>
      <c r="O34" s="43"/>
      <c r="P34" s="43"/>
      <c r="Q34" s="43"/>
      <c r="R34" s="43"/>
    </row>
    <row r="35" spans="1:18" s="40" customFormat="1" ht="15.75">
      <c r="A35" s="43"/>
      <c r="B35" s="48"/>
      <c r="C35" s="44"/>
      <c r="D35" s="48"/>
      <c r="E35" s="44"/>
      <c r="F35" s="469"/>
      <c r="I35" s="48"/>
      <c r="J35" s="48"/>
      <c r="K35" s="49"/>
      <c r="M35" s="48"/>
      <c r="O35" s="43"/>
      <c r="P35" s="43"/>
      <c r="Q35" s="43"/>
      <c r="R35" s="43"/>
    </row>
    <row r="36" spans="1:18" s="40" customFormat="1" ht="15.75">
      <c r="A36" s="43"/>
      <c r="B36" s="48"/>
      <c r="C36" s="44"/>
      <c r="D36" s="48"/>
      <c r="E36" s="44"/>
      <c r="F36" s="469"/>
      <c r="I36" s="48"/>
      <c r="J36" s="48"/>
      <c r="K36" s="49"/>
      <c r="M36" s="48"/>
      <c r="O36" s="43"/>
      <c r="P36" s="43"/>
      <c r="Q36" s="43"/>
      <c r="R36" s="43"/>
    </row>
    <row r="37" spans="1:18" s="40" customFormat="1" ht="15.75">
      <c r="A37" s="43"/>
      <c r="B37" s="48"/>
      <c r="C37" s="44"/>
      <c r="D37" s="48"/>
      <c r="E37" s="44"/>
      <c r="F37" s="469"/>
      <c r="I37" s="48"/>
      <c r="J37" s="48"/>
      <c r="K37" s="49"/>
      <c r="M37" s="48"/>
      <c r="O37" s="43"/>
      <c r="P37" s="43"/>
      <c r="Q37" s="43"/>
      <c r="R37" s="43"/>
    </row>
    <row r="38" spans="1:18" s="40" customFormat="1" ht="15.75">
      <c r="A38" s="43"/>
      <c r="B38" s="48"/>
      <c r="C38" s="44"/>
      <c r="D38" s="48"/>
      <c r="E38" s="44"/>
      <c r="F38" s="469"/>
      <c r="I38" s="48"/>
      <c r="J38" s="48"/>
      <c r="K38" s="49"/>
      <c r="M38" s="48"/>
      <c r="O38" s="43"/>
      <c r="P38" s="43"/>
      <c r="Q38" s="43"/>
      <c r="R38" s="43"/>
    </row>
    <row r="39" spans="1:18" s="40" customFormat="1" ht="15.75">
      <c r="A39" s="43"/>
      <c r="B39" s="48"/>
      <c r="C39" s="44"/>
      <c r="D39" s="48"/>
      <c r="E39" s="44"/>
      <c r="F39" s="469"/>
      <c r="I39" s="48"/>
      <c r="J39" s="48"/>
      <c r="K39" s="49"/>
      <c r="M39" s="48"/>
      <c r="O39" s="43"/>
      <c r="P39" s="43"/>
      <c r="Q39" s="43"/>
      <c r="R39" s="43"/>
    </row>
    <row r="40" spans="1:18" s="40" customFormat="1" ht="15.75">
      <c r="A40" s="43"/>
      <c r="B40" s="48"/>
      <c r="C40" s="44"/>
      <c r="D40" s="48"/>
      <c r="E40" s="44"/>
      <c r="F40" s="469"/>
      <c r="I40" s="48"/>
      <c r="J40" s="48"/>
      <c r="K40" s="49"/>
      <c r="M40" s="48"/>
      <c r="O40" s="43"/>
      <c r="P40" s="43"/>
      <c r="Q40" s="43"/>
      <c r="R40" s="43"/>
    </row>
    <row r="41" spans="1:18" s="40" customFormat="1" ht="15.75">
      <c r="A41" s="43"/>
      <c r="B41" s="48"/>
      <c r="C41" s="44"/>
      <c r="D41" s="48"/>
      <c r="E41" s="44"/>
      <c r="F41" s="469"/>
      <c r="I41" s="48"/>
      <c r="J41" s="48"/>
      <c r="K41" s="49"/>
      <c r="M41" s="48"/>
      <c r="O41" s="43"/>
      <c r="P41" s="43"/>
      <c r="Q41" s="43"/>
      <c r="R41" s="43"/>
    </row>
    <row r="42" spans="1:18" s="40" customFormat="1" ht="15.75">
      <c r="A42" s="43"/>
      <c r="B42" s="48"/>
      <c r="C42" s="44"/>
      <c r="D42" s="48"/>
      <c r="E42" s="44"/>
      <c r="F42" s="469"/>
      <c r="I42" s="48"/>
      <c r="J42" s="48"/>
      <c r="K42" s="49"/>
      <c r="M42" s="48"/>
      <c r="O42" s="43"/>
      <c r="P42" s="43"/>
      <c r="Q42" s="43"/>
      <c r="R42" s="43"/>
    </row>
    <row r="43" spans="1:18" s="40" customFormat="1" ht="15.75">
      <c r="A43" s="43"/>
      <c r="B43" s="48"/>
      <c r="C43" s="44"/>
      <c r="D43" s="48"/>
      <c r="E43" s="44"/>
      <c r="F43" s="469"/>
      <c r="I43" s="48"/>
      <c r="J43" s="48"/>
      <c r="K43" s="49"/>
      <c r="M43" s="48"/>
      <c r="O43" s="43"/>
      <c r="P43" s="43"/>
      <c r="Q43" s="43"/>
      <c r="R43" s="43"/>
    </row>
    <row r="44" spans="1:18" s="40" customFormat="1" ht="15.75">
      <c r="A44" s="43"/>
      <c r="B44" s="48"/>
      <c r="C44" s="44"/>
      <c r="D44" s="48"/>
      <c r="E44" s="44"/>
      <c r="F44" s="469"/>
      <c r="I44" s="48"/>
      <c r="J44" s="48"/>
      <c r="K44" s="49"/>
      <c r="M44" s="48"/>
      <c r="O44" s="43"/>
      <c r="P44" s="43"/>
      <c r="Q44" s="43"/>
      <c r="R44" s="43"/>
    </row>
    <row r="45" spans="1:18" s="40" customFormat="1" ht="15.75">
      <c r="A45" s="43"/>
      <c r="B45" s="48"/>
      <c r="C45" s="44"/>
      <c r="D45" s="48"/>
      <c r="E45" s="44"/>
      <c r="F45" s="469"/>
      <c r="I45" s="48"/>
      <c r="J45" s="48"/>
      <c r="K45" s="49"/>
      <c r="M45" s="48"/>
      <c r="O45" s="43"/>
      <c r="P45" s="43"/>
      <c r="Q45" s="43"/>
      <c r="R45" s="43"/>
    </row>
    <row r="46" spans="1:18" s="40" customFormat="1" ht="15.75">
      <c r="A46" s="43"/>
      <c r="B46" s="48"/>
      <c r="C46" s="44"/>
      <c r="D46" s="48"/>
      <c r="E46" s="44"/>
      <c r="F46" s="469"/>
      <c r="I46" s="48"/>
      <c r="J46" s="48"/>
      <c r="K46" s="49"/>
      <c r="M46" s="48"/>
      <c r="O46" s="43"/>
      <c r="P46" s="43"/>
      <c r="Q46" s="43"/>
      <c r="R46" s="43"/>
    </row>
    <row r="47" spans="1:18" s="40" customFormat="1" ht="15.75">
      <c r="A47" s="43"/>
      <c r="B47" s="48"/>
      <c r="C47" s="44"/>
      <c r="D47" s="48"/>
      <c r="E47" s="44"/>
      <c r="F47" s="469"/>
      <c r="I47" s="48"/>
      <c r="J47" s="48"/>
      <c r="K47" s="49"/>
      <c r="M47" s="48"/>
      <c r="O47" s="43"/>
      <c r="P47" s="43"/>
      <c r="Q47" s="43"/>
      <c r="R47" s="43"/>
    </row>
    <row r="48" spans="1:18" s="40" customFormat="1" ht="15.75">
      <c r="A48" s="43"/>
      <c r="B48" s="48"/>
      <c r="C48" s="44"/>
      <c r="D48" s="48"/>
      <c r="E48" s="44"/>
      <c r="F48" s="469"/>
      <c r="I48" s="48"/>
      <c r="J48" s="48"/>
      <c r="K48" s="49"/>
      <c r="M48" s="48"/>
      <c r="O48" s="43"/>
      <c r="P48" s="43"/>
      <c r="Q48" s="43"/>
      <c r="R48" s="43"/>
    </row>
    <row r="49" spans="1:18" s="40" customFormat="1" ht="15.75">
      <c r="A49" s="43"/>
      <c r="B49" s="48"/>
      <c r="C49" s="44"/>
      <c r="D49" s="48"/>
      <c r="E49" s="44"/>
      <c r="F49" s="469"/>
      <c r="I49" s="48"/>
      <c r="J49" s="48"/>
      <c r="K49" s="49"/>
      <c r="M49" s="48"/>
      <c r="O49" s="43"/>
      <c r="P49" s="43"/>
      <c r="Q49" s="43"/>
      <c r="R49" s="43"/>
    </row>
    <row r="50" spans="1:18" s="40" customFormat="1" ht="15.75">
      <c r="A50" s="43"/>
      <c r="B50" s="48"/>
      <c r="C50" s="44"/>
      <c r="D50" s="48"/>
      <c r="E50" s="44"/>
      <c r="F50" s="469"/>
      <c r="I50" s="48"/>
      <c r="J50" s="48"/>
      <c r="K50" s="49"/>
      <c r="M50" s="48"/>
      <c r="O50" s="43"/>
      <c r="P50" s="43"/>
      <c r="Q50" s="43"/>
      <c r="R50" s="43"/>
    </row>
    <row r="51" spans="1:18" s="40" customFormat="1" ht="15.75">
      <c r="A51" s="43"/>
      <c r="B51" s="48"/>
      <c r="C51" s="44"/>
      <c r="D51" s="48"/>
      <c r="E51" s="44"/>
      <c r="F51" s="469"/>
      <c r="I51" s="48"/>
      <c r="J51" s="48"/>
      <c r="K51" s="49"/>
      <c r="M51" s="48"/>
      <c r="O51" s="43"/>
      <c r="P51" s="43"/>
      <c r="Q51" s="43"/>
      <c r="R51" s="43"/>
    </row>
    <row r="52" spans="1:18" s="40" customFormat="1" ht="15.75">
      <c r="A52" s="43"/>
      <c r="B52" s="48"/>
      <c r="C52" s="44"/>
      <c r="D52" s="48"/>
      <c r="E52" s="44"/>
      <c r="F52" s="469"/>
      <c r="I52" s="48"/>
      <c r="J52" s="48"/>
      <c r="K52" s="49"/>
      <c r="M52" s="48"/>
      <c r="O52" s="43"/>
      <c r="P52" s="43"/>
      <c r="Q52" s="43"/>
      <c r="R52" s="43"/>
    </row>
    <row r="53" spans="1:18" s="40" customFormat="1" ht="15.75">
      <c r="A53" s="43"/>
      <c r="B53" s="48"/>
      <c r="C53" s="44"/>
      <c r="D53" s="48"/>
      <c r="E53" s="44"/>
      <c r="F53" s="469"/>
      <c r="I53" s="48"/>
      <c r="J53" s="48"/>
      <c r="K53" s="49"/>
      <c r="M53" s="48"/>
      <c r="O53" s="43"/>
      <c r="P53" s="43"/>
      <c r="Q53" s="43"/>
      <c r="R53" s="43"/>
    </row>
    <row r="54" spans="1:18" s="40" customFormat="1" ht="15.75">
      <c r="A54" s="43"/>
      <c r="B54" s="48"/>
      <c r="C54" s="44"/>
      <c r="D54" s="48"/>
      <c r="E54" s="44"/>
      <c r="F54" s="469"/>
      <c r="I54" s="48"/>
      <c r="J54" s="48"/>
      <c r="K54" s="49"/>
      <c r="M54" s="48"/>
      <c r="O54" s="43"/>
      <c r="P54" s="43"/>
      <c r="Q54" s="43"/>
      <c r="R54" s="43"/>
    </row>
    <row r="55" spans="1:18" s="40" customFormat="1" ht="15.75">
      <c r="A55" s="43"/>
      <c r="B55" s="48"/>
      <c r="C55" s="44"/>
      <c r="D55" s="48"/>
      <c r="E55" s="44"/>
      <c r="F55" s="469"/>
      <c r="I55" s="48"/>
      <c r="J55" s="48"/>
      <c r="K55" s="49"/>
      <c r="M55" s="48"/>
      <c r="O55" s="43"/>
      <c r="P55" s="43"/>
      <c r="Q55" s="43"/>
      <c r="R55" s="43"/>
    </row>
    <row r="56" spans="1:18" s="40" customFormat="1" ht="15.75">
      <c r="A56" s="43"/>
      <c r="B56" s="48"/>
      <c r="C56" s="44"/>
      <c r="D56" s="48"/>
      <c r="E56" s="44"/>
      <c r="F56" s="469"/>
      <c r="I56" s="48"/>
      <c r="J56" s="48"/>
      <c r="K56" s="49"/>
      <c r="M56" s="48"/>
      <c r="O56" s="43"/>
      <c r="P56" s="43"/>
      <c r="Q56" s="43"/>
      <c r="R56" s="43"/>
    </row>
    <row r="57" spans="1:18" s="40" customFormat="1" ht="15.75">
      <c r="A57" s="43"/>
      <c r="B57" s="48"/>
      <c r="C57" s="44"/>
      <c r="D57" s="48"/>
      <c r="E57" s="44"/>
      <c r="F57" s="469"/>
      <c r="I57" s="48"/>
      <c r="J57" s="48"/>
      <c r="K57" s="49"/>
      <c r="M57" s="48"/>
      <c r="O57" s="43"/>
      <c r="P57" s="43"/>
      <c r="Q57" s="43"/>
      <c r="R57" s="43"/>
    </row>
    <row r="58" spans="1:18" s="40" customFormat="1" ht="21.75" customHeight="1">
      <c r="A58" s="43"/>
      <c r="B58" s="48"/>
      <c r="C58" s="44"/>
      <c r="D58" s="48"/>
      <c r="E58" s="44"/>
      <c r="F58" s="469"/>
      <c r="I58" s="48"/>
      <c r="J58" s="48"/>
      <c r="K58" s="49"/>
      <c r="M58" s="48"/>
      <c r="O58" s="43"/>
      <c r="P58" s="43"/>
      <c r="Q58" s="43"/>
      <c r="R58" s="43"/>
    </row>
    <row r="59" spans="1:18" s="40" customFormat="1" ht="21.75" customHeight="1">
      <c r="A59" s="43"/>
      <c r="B59" s="48"/>
      <c r="C59" s="44"/>
      <c r="D59" s="48"/>
      <c r="E59" s="44"/>
      <c r="F59" s="469"/>
      <c r="I59" s="48"/>
      <c r="J59" s="48"/>
      <c r="K59" s="49"/>
      <c r="M59" s="48"/>
      <c r="O59" s="43"/>
      <c r="P59" s="43"/>
      <c r="Q59" s="43"/>
      <c r="R59" s="43"/>
    </row>
    <row r="60" spans="1:18" s="40" customFormat="1" ht="21.75" customHeight="1">
      <c r="A60" s="43"/>
      <c r="B60" s="48"/>
      <c r="C60" s="44"/>
      <c r="D60" s="48"/>
      <c r="E60" s="44"/>
      <c r="F60" s="469"/>
      <c r="I60" s="48"/>
      <c r="J60" s="48"/>
      <c r="K60" s="49"/>
      <c r="M60" s="48"/>
      <c r="O60" s="43"/>
      <c r="P60" s="43"/>
      <c r="Q60" s="43"/>
      <c r="R60" s="43"/>
    </row>
    <row r="61" spans="1:18" s="40" customFormat="1" ht="21.75" customHeight="1">
      <c r="A61" s="43"/>
      <c r="B61" s="48"/>
      <c r="C61" s="44"/>
      <c r="D61" s="48"/>
      <c r="E61" s="44"/>
      <c r="F61" s="469"/>
      <c r="I61" s="48"/>
      <c r="J61" s="48"/>
      <c r="K61" s="49"/>
      <c r="M61" s="48"/>
      <c r="O61" s="43"/>
      <c r="P61" s="43"/>
      <c r="Q61" s="43"/>
      <c r="R61" s="43"/>
    </row>
    <row r="62" spans="1:18" s="40" customFormat="1" ht="21.75" customHeight="1">
      <c r="A62" s="43"/>
      <c r="B62" s="48"/>
      <c r="C62" s="44"/>
      <c r="D62" s="48"/>
      <c r="E62" s="44"/>
      <c r="F62" s="469"/>
      <c r="I62" s="48"/>
      <c r="J62" s="48"/>
      <c r="K62" s="49"/>
      <c r="M62" s="48"/>
      <c r="O62" s="43"/>
      <c r="P62" s="43"/>
      <c r="Q62" s="43"/>
      <c r="R62" s="43"/>
    </row>
    <row r="63" spans="1:18" s="40" customFormat="1" ht="21.75" customHeight="1">
      <c r="A63" s="43"/>
      <c r="B63" s="48"/>
      <c r="C63" s="44"/>
      <c r="D63" s="48"/>
      <c r="E63" s="44"/>
      <c r="F63" s="469"/>
      <c r="I63" s="48"/>
      <c r="J63" s="48"/>
      <c r="K63" s="49"/>
      <c r="M63" s="48"/>
      <c r="O63" s="43"/>
      <c r="P63" s="43"/>
      <c r="Q63" s="43"/>
      <c r="R63" s="43"/>
    </row>
    <row r="64" spans="1:18" s="40" customFormat="1" ht="21.75" customHeight="1">
      <c r="A64" s="43"/>
      <c r="B64" s="48"/>
      <c r="C64" s="44"/>
      <c r="D64" s="48"/>
      <c r="E64" s="44"/>
      <c r="F64" s="469"/>
      <c r="I64" s="48"/>
      <c r="J64" s="48"/>
      <c r="K64" s="49"/>
      <c r="M64" s="48"/>
      <c r="O64" s="43"/>
      <c r="P64" s="43"/>
      <c r="Q64" s="43"/>
      <c r="R64" s="43"/>
    </row>
    <row r="65" spans="1:18" s="40" customFormat="1" ht="21.75" customHeight="1">
      <c r="A65" s="43"/>
      <c r="B65" s="48"/>
      <c r="C65" s="44"/>
      <c r="D65" s="48"/>
      <c r="E65" s="44"/>
      <c r="F65" s="469"/>
      <c r="I65" s="48"/>
      <c r="J65" s="48"/>
      <c r="K65" s="49"/>
      <c r="M65" s="48"/>
      <c r="O65" s="43"/>
      <c r="P65" s="43"/>
      <c r="Q65" s="43"/>
      <c r="R65" s="43"/>
    </row>
    <row r="66" spans="1:18" s="40" customFormat="1" ht="21.75" customHeight="1">
      <c r="A66" s="43"/>
      <c r="B66" s="48"/>
      <c r="C66" s="44"/>
      <c r="D66" s="48"/>
      <c r="E66" s="44"/>
      <c r="F66" s="469"/>
      <c r="I66" s="48"/>
      <c r="J66" s="48"/>
      <c r="K66" s="49"/>
      <c r="M66" s="48"/>
      <c r="O66" s="43"/>
      <c r="P66" s="43"/>
      <c r="Q66" s="43"/>
      <c r="R66" s="43"/>
    </row>
    <row r="67" spans="1:18" s="40" customFormat="1" ht="21.75" customHeight="1">
      <c r="A67" s="43"/>
      <c r="B67" s="48"/>
      <c r="C67" s="44"/>
      <c r="D67" s="48"/>
      <c r="E67" s="44"/>
      <c r="F67" s="469"/>
      <c r="I67" s="48"/>
      <c r="J67" s="48"/>
      <c r="K67" s="49"/>
      <c r="M67" s="48"/>
      <c r="O67" s="43"/>
      <c r="P67" s="43"/>
      <c r="Q67" s="43"/>
      <c r="R67" s="43"/>
    </row>
    <row r="68" spans="1:18" s="40" customFormat="1" ht="21.75" customHeight="1">
      <c r="A68" s="43"/>
      <c r="B68" s="48"/>
      <c r="C68" s="44"/>
      <c r="D68" s="48"/>
      <c r="E68" s="44"/>
      <c r="F68" s="469"/>
      <c r="I68" s="48"/>
      <c r="J68" s="48"/>
      <c r="K68" s="49"/>
      <c r="M68" s="48"/>
      <c r="O68" s="43"/>
      <c r="P68" s="43"/>
      <c r="Q68" s="43"/>
      <c r="R68" s="43"/>
    </row>
    <row r="69" spans="1:18" s="40" customFormat="1" ht="21.75" customHeight="1">
      <c r="A69" s="43"/>
      <c r="B69" s="48"/>
      <c r="C69" s="44"/>
      <c r="D69" s="48"/>
      <c r="E69" s="44"/>
      <c r="F69" s="469"/>
      <c r="I69" s="48"/>
      <c r="J69" s="48"/>
      <c r="K69" s="49"/>
      <c r="M69" s="48"/>
      <c r="O69" s="43"/>
      <c r="P69" s="43"/>
      <c r="Q69" s="43"/>
      <c r="R69" s="43"/>
    </row>
    <row r="70" spans="1:18" s="40" customFormat="1" ht="21.75" customHeight="1">
      <c r="A70" s="43"/>
      <c r="B70" s="48"/>
      <c r="C70" s="44"/>
      <c r="D70" s="48"/>
      <c r="E70" s="44"/>
      <c r="F70" s="469"/>
      <c r="I70" s="48"/>
      <c r="J70" s="48"/>
      <c r="K70" s="49"/>
      <c r="M70" s="48"/>
      <c r="O70" s="43"/>
      <c r="P70" s="43"/>
      <c r="Q70" s="43"/>
      <c r="R70" s="43"/>
    </row>
    <row r="71" spans="1:18" s="40" customFormat="1" ht="21.75" customHeight="1">
      <c r="A71" s="43"/>
      <c r="B71" s="48"/>
      <c r="C71" s="44"/>
      <c r="D71" s="48"/>
      <c r="E71" s="44"/>
      <c r="F71" s="469"/>
      <c r="I71" s="48"/>
      <c r="J71" s="48"/>
      <c r="K71" s="49"/>
      <c r="M71" s="48"/>
      <c r="O71" s="43"/>
      <c r="P71" s="43"/>
      <c r="Q71" s="43"/>
      <c r="R71" s="43"/>
    </row>
    <row r="72" spans="1:18" s="40" customFormat="1" ht="21.75" customHeight="1">
      <c r="A72" s="43"/>
      <c r="B72" s="48"/>
      <c r="C72" s="44"/>
      <c r="D72" s="48"/>
      <c r="E72" s="44"/>
      <c r="F72" s="469"/>
      <c r="I72" s="48"/>
      <c r="J72" s="48"/>
      <c r="K72" s="49"/>
      <c r="M72" s="48"/>
      <c r="O72" s="43"/>
      <c r="P72" s="43"/>
      <c r="Q72" s="43"/>
      <c r="R72" s="43"/>
    </row>
    <row r="73" spans="1:18" s="40" customFormat="1" ht="21.75" customHeight="1">
      <c r="A73" s="43"/>
      <c r="B73" s="48"/>
      <c r="C73" s="44"/>
      <c r="D73" s="48"/>
      <c r="E73" s="44"/>
      <c r="F73" s="469"/>
      <c r="I73" s="48"/>
      <c r="J73" s="48"/>
      <c r="K73" s="49"/>
      <c r="M73" s="48"/>
      <c r="O73" s="43"/>
      <c r="P73" s="43"/>
      <c r="Q73" s="43"/>
      <c r="R73" s="43"/>
    </row>
    <row r="74" spans="1:18" s="40" customFormat="1" ht="21.75" customHeight="1">
      <c r="A74" s="43"/>
      <c r="B74" s="48"/>
      <c r="C74" s="44"/>
      <c r="D74" s="48"/>
      <c r="E74" s="44"/>
      <c r="F74" s="469"/>
      <c r="I74" s="48"/>
      <c r="J74" s="48"/>
      <c r="K74" s="49"/>
      <c r="M74" s="48"/>
      <c r="O74" s="43"/>
      <c r="P74" s="43"/>
      <c r="Q74" s="43"/>
      <c r="R74" s="43"/>
    </row>
    <row r="75" spans="1:18" s="40" customFormat="1" ht="21.75" customHeight="1">
      <c r="A75" s="43"/>
      <c r="B75" s="48"/>
      <c r="C75" s="44"/>
      <c r="D75" s="48"/>
      <c r="E75" s="44"/>
      <c r="F75" s="469"/>
      <c r="I75" s="48"/>
      <c r="J75" s="48"/>
      <c r="K75" s="49"/>
      <c r="M75" s="48"/>
      <c r="O75" s="43"/>
      <c r="P75" s="43"/>
      <c r="Q75" s="43"/>
      <c r="R75" s="43"/>
    </row>
    <row r="76" spans="1:18" s="40" customFormat="1" ht="21.75" customHeight="1">
      <c r="A76" s="43"/>
      <c r="B76" s="48"/>
      <c r="C76" s="44"/>
      <c r="D76" s="48"/>
      <c r="E76" s="44"/>
      <c r="F76" s="469"/>
      <c r="I76" s="48"/>
      <c r="J76" s="48"/>
      <c r="K76" s="49"/>
      <c r="M76" s="48"/>
      <c r="O76" s="43"/>
      <c r="P76" s="43"/>
      <c r="Q76" s="43"/>
      <c r="R76" s="43"/>
    </row>
    <row r="77" spans="1:18" s="40" customFormat="1" ht="21.75" customHeight="1">
      <c r="A77" s="43"/>
      <c r="B77" s="48"/>
      <c r="C77" s="44"/>
      <c r="D77" s="48"/>
      <c r="E77" s="44"/>
      <c r="F77" s="469"/>
      <c r="I77" s="48"/>
      <c r="J77" s="48"/>
      <c r="K77" s="49"/>
      <c r="M77" s="48"/>
      <c r="O77" s="43"/>
      <c r="P77" s="43"/>
      <c r="Q77" s="43"/>
      <c r="R77" s="43"/>
    </row>
    <row r="78" spans="1:18" s="40" customFormat="1" ht="21.75" customHeight="1">
      <c r="A78" s="43"/>
      <c r="B78" s="48"/>
      <c r="C78" s="44"/>
      <c r="D78" s="48"/>
      <c r="E78" s="44"/>
      <c r="F78" s="469"/>
      <c r="I78" s="48"/>
      <c r="J78" s="48"/>
      <c r="K78" s="49"/>
      <c r="M78" s="48"/>
      <c r="O78" s="43"/>
      <c r="P78" s="43"/>
      <c r="Q78" s="43"/>
      <c r="R78" s="43"/>
    </row>
    <row r="79" spans="1:18" s="40" customFormat="1" ht="21.75" customHeight="1">
      <c r="A79" s="43"/>
      <c r="B79" s="48"/>
      <c r="C79" s="44"/>
      <c r="D79" s="48"/>
      <c r="E79" s="44"/>
      <c r="F79" s="469"/>
      <c r="I79" s="48"/>
      <c r="J79" s="48"/>
      <c r="K79" s="49"/>
      <c r="M79" s="48"/>
      <c r="O79" s="43"/>
      <c r="P79" s="43"/>
      <c r="Q79" s="43"/>
      <c r="R79" s="43"/>
    </row>
    <row r="80" spans="1:18" s="40" customFormat="1" ht="21.75" customHeight="1">
      <c r="A80" s="43"/>
      <c r="B80" s="48"/>
      <c r="C80" s="44"/>
      <c r="D80" s="48"/>
      <c r="E80" s="44"/>
      <c r="F80" s="469"/>
      <c r="I80" s="48"/>
      <c r="J80" s="48"/>
      <c r="K80" s="49"/>
      <c r="M80" s="48"/>
      <c r="O80" s="43"/>
      <c r="P80" s="43"/>
      <c r="Q80" s="43"/>
      <c r="R80" s="43"/>
    </row>
    <row r="81" spans="1:18" s="40" customFormat="1" ht="21.75" customHeight="1">
      <c r="A81" s="43"/>
      <c r="B81" s="48"/>
      <c r="C81" s="44"/>
      <c r="D81" s="48"/>
      <c r="E81" s="44"/>
      <c r="F81" s="469"/>
      <c r="I81" s="48"/>
      <c r="J81" s="48"/>
      <c r="K81" s="49"/>
      <c r="M81" s="48"/>
      <c r="O81" s="43"/>
      <c r="P81" s="43"/>
      <c r="Q81" s="43"/>
      <c r="R81" s="43"/>
    </row>
    <row r="82" spans="1:18" s="40" customFormat="1" ht="21.75" customHeight="1">
      <c r="A82" s="43"/>
      <c r="B82" s="48"/>
      <c r="C82" s="44"/>
      <c r="D82" s="48"/>
      <c r="E82" s="44"/>
      <c r="F82" s="469"/>
      <c r="I82" s="48"/>
      <c r="J82" s="48"/>
      <c r="K82" s="49"/>
      <c r="M82" s="48"/>
      <c r="O82" s="43"/>
      <c r="P82" s="43"/>
      <c r="Q82" s="43"/>
      <c r="R82" s="43"/>
    </row>
    <row r="83" spans="1:18" s="40" customFormat="1" ht="21.75" customHeight="1">
      <c r="A83" s="43"/>
      <c r="B83" s="48"/>
      <c r="C83" s="44"/>
      <c r="D83" s="48"/>
      <c r="E83" s="44"/>
      <c r="F83" s="469"/>
      <c r="I83" s="48"/>
      <c r="J83" s="48"/>
      <c r="K83" s="49"/>
      <c r="M83" s="48"/>
      <c r="O83" s="43"/>
      <c r="P83" s="43"/>
      <c r="Q83" s="43"/>
      <c r="R83" s="43"/>
    </row>
    <row r="84" spans="1:18" s="40" customFormat="1" ht="21.75" customHeight="1">
      <c r="A84" s="43"/>
      <c r="B84" s="48"/>
      <c r="C84" s="44"/>
      <c r="D84" s="48"/>
      <c r="E84" s="44"/>
      <c r="F84" s="469"/>
      <c r="I84" s="48"/>
      <c r="J84" s="48"/>
      <c r="K84" s="49"/>
      <c r="M84" s="48"/>
      <c r="O84" s="43"/>
      <c r="P84" s="43"/>
      <c r="Q84" s="43"/>
      <c r="R84" s="43"/>
    </row>
    <row r="85" spans="1:18" s="40" customFormat="1" ht="21.75" customHeight="1">
      <c r="A85" s="43"/>
      <c r="B85" s="48"/>
      <c r="C85" s="44"/>
      <c r="D85" s="48"/>
      <c r="E85" s="44"/>
      <c r="F85" s="469"/>
      <c r="I85" s="48"/>
      <c r="J85" s="48"/>
      <c r="K85" s="49"/>
      <c r="M85" s="48"/>
      <c r="O85" s="43"/>
      <c r="P85" s="43"/>
      <c r="Q85" s="43"/>
      <c r="R85" s="43"/>
    </row>
    <row r="86" spans="1:18" s="40" customFormat="1" ht="21.75" customHeight="1">
      <c r="A86" s="43"/>
      <c r="B86" s="48"/>
      <c r="C86" s="44"/>
      <c r="D86" s="48"/>
      <c r="E86" s="44"/>
      <c r="F86" s="469"/>
      <c r="I86" s="48"/>
      <c r="J86" s="48"/>
      <c r="K86" s="49"/>
      <c r="M86" s="48"/>
      <c r="O86" s="43"/>
      <c r="P86" s="43"/>
      <c r="Q86" s="43"/>
      <c r="R86" s="43"/>
    </row>
    <row r="87" spans="1:18" s="40" customFormat="1" ht="21.75" customHeight="1">
      <c r="A87" s="43"/>
      <c r="B87" s="48"/>
      <c r="C87" s="44"/>
      <c r="D87" s="48"/>
      <c r="E87" s="44"/>
      <c r="F87" s="469"/>
      <c r="I87" s="48"/>
      <c r="J87" s="48"/>
      <c r="K87" s="49"/>
      <c r="M87" s="48"/>
      <c r="O87" s="43"/>
      <c r="P87" s="43"/>
      <c r="Q87" s="43"/>
      <c r="R87" s="43"/>
    </row>
    <row r="88" spans="1:18" s="40" customFormat="1" ht="21.75" customHeight="1">
      <c r="A88" s="43"/>
      <c r="B88" s="48"/>
      <c r="C88" s="44"/>
      <c r="D88" s="48"/>
      <c r="E88" s="44"/>
      <c r="F88" s="469"/>
      <c r="I88" s="48"/>
      <c r="J88" s="48"/>
      <c r="K88" s="49"/>
      <c r="M88" s="48"/>
      <c r="O88" s="43"/>
      <c r="P88" s="43"/>
      <c r="Q88" s="43"/>
      <c r="R88" s="43"/>
    </row>
    <row r="89" spans="1:18" s="40" customFormat="1" ht="21.75" customHeight="1">
      <c r="A89" s="43"/>
      <c r="B89" s="48"/>
      <c r="C89" s="44"/>
      <c r="D89" s="48"/>
      <c r="E89" s="44"/>
      <c r="F89" s="469"/>
      <c r="I89" s="48"/>
      <c r="J89" s="48"/>
      <c r="K89" s="49"/>
      <c r="M89" s="48"/>
      <c r="O89" s="43"/>
      <c r="P89" s="43"/>
      <c r="Q89" s="43"/>
      <c r="R89" s="43"/>
    </row>
    <row r="90" spans="1:18" s="40" customFormat="1" ht="21.75" customHeight="1">
      <c r="A90" s="43"/>
      <c r="B90" s="48"/>
      <c r="C90" s="44"/>
      <c r="D90" s="48"/>
      <c r="E90" s="44"/>
      <c r="F90" s="469"/>
      <c r="I90" s="48"/>
      <c r="J90" s="48"/>
      <c r="K90" s="49"/>
      <c r="M90" s="48"/>
      <c r="O90" s="43"/>
      <c r="P90" s="43"/>
      <c r="Q90" s="43"/>
      <c r="R90" s="43"/>
    </row>
    <row r="91" spans="1:18" s="40" customFormat="1" ht="21.75" customHeight="1">
      <c r="A91" s="43"/>
      <c r="B91" s="48"/>
      <c r="C91" s="44"/>
      <c r="D91" s="48"/>
      <c r="E91" s="44"/>
      <c r="F91" s="469"/>
      <c r="I91" s="48"/>
      <c r="J91" s="48"/>
      <c r="K91" s="49"/>
      <c r="M91" s="48"/>
      <c r="O91" s="43"/>
      <c r="P91" s="43"/>
      <c r="Q91" s="43"/>
      <c r="R91" s="43"/>
    </row>
    <row r="92" spans="1:18" s="40" customFormat="1" ht="21.75" customHeight="1">
      <c r="A92" s="43"/>
      <c r="B92" s="48"/>
      <c r="C92" s="44"/>
      <c r="D92" s="48"/>
      <c r="E92" s="44"/>
      <c r="F92" s="469"/>
      <c r="I92" s="48"/>
      <c r="J92" s="48"/>
      <c r="K92" s="49"/>
      <c r="M92" s="48"/>
      <c r="O92" s="43"/>
      <c r="P92" s="43"/>
      <c r="Q92" s="43"/>
      <c r="R92" s="43"/>
    </row>
    <row r="93" spans="1:18" s="40" customFormat="1" ht="21.75" customHeight="1">
      <c r="A93" s="43"/>
      <c r="B93" s="48"/>
      <c r="C93" s="44"/>
      <c r="D93" s="48"/>
      <c r="E93" s="44"/>
      <c r="F93" s="469"/>
      <c r="I93" s="48"/>
      <c r="J93" s="48"/>
      <c r="K93" s="49"/>
      <c r="M93" s="48"/>
      <c r="O93" s="43"/>
      <c r="P93" s="43"/>
      <c r="Q93" s="43"/>
      <c r="R93" s="43"/>
    </row>
    <row r="94" spans="1:18" s="40" customFormat="1" ht="21.75" customHeight="1">
      <c r="A94" s="43"/>
      <c r="B94" s="48"/>
      <c r="C94" s="44"/>
      <c r="D94" s="48"/>
      <c r="E94" s="44"/>
      <c r="F94" s="469"/>
      <c r="I94" s="48"/>
      <c r="J94" s="48"/>
      <c r="K94" s="49"/>
      <c r="M94" s="48"/>
      <c r="O94" s="43"/>
      <c r="P94" s="43"/>
      <c r="Q94" s="43"/>
      <c r="R94" s="43"/>
    </row>
    <row r="95" spans="1:18" s="40" customFormat="1" ht="21.75" customHeight="1">
      <c r="A95" s="43"/>
      <c r="B95" s="48"/>
      <c r="C95" s="44"/>
      <c r="D95" s="48"/>
      <c r="E95" s="44"/>
      <c r="F95" s="469"/>
      <c r="I95" s="48"/>
      <c r="J95" s="48"/>
      <c r="K95" s="49"/>
      <c r="M95" s="48"/>
      <c r="O95" s="43"/>
      <c r="P95" s="43"/>
      <c r="Q95" s="43"/>
      <c r="R95" s="43"/>
    </row>
    <row r="96" spans="1:18" s="40" customFormat="1" ht="21.75" customHeight="1">
      <c r="A96" s="43"/>
      <c r="B96" s="48"/>
      <c r="C96" s="44"/>
      <c r="D96" s="48"/>
      <c r="E96" s="44"/>
      <c r="F96" s="469"/>
      <c r="I96" s="48"/>
      <c r="J96" s="48"/>
      <c r="K96" s="49"/>
      <c r="M96" s="48"/>
      <c r="O96" s="43"/>
      <c r="P96" s="43"/>
      <c r="Q96" s="43"/>
      <c r="R96" s="43"/>
    </row>
    <row r="97" spans="1:18" s="40" customFormat="1" ht="21.75" customHeight="1">
      <c r="A97" s="43"/>
      <c r="B97" s="48"/>
      <c r="C97" s="44"/>
      <c r="D97" s="48"/>
      <c r="E97" s="44"/>
      <c r="F97" s="469"/>
      <c r="I97" s="48"/>
      <c r="J97" s="48"/>
      <c r="K97" s="49"/>
      <c r="M97" s="48"/>
      <c r="O97" s="43"/>
      <c r="P97" s="43"/>
      <c r="Q97" s="43"/>
      <c r="R97" s="43"/>
    </row>
    <row r="98" spans="1:18" s="40" customFormat="1" ht="21.75" customHeight="1">
      <c r="A98" s="43"/>
      <c r="B98" s="48"/>
      <c r="C98" s="44"/>
      <c r="D98" s="48"/>
      <c r="E98" s="44"/>
      <c r="F98" s="469"/>
      <c r="I98" s="48"/>
      <c r="J98" s="48"/>
      <c r="K98" s="49"/>
      <c r="M98" s="48"/>
      <c r="O98" s="43"/>
      <c r="P98" s="43"/>
      <c r="Q98" s="43"/>
      <c r="R98" s="43"/>
    </row>
    <row r="99" spans="1:18" s="40" customFormat="1" ht="21.75" customHeight="1">
      <c r="A99" s="43"/>
      <c r="B99" s="48"/>
      <c r="C99" s="44"/>
      <c r="D99" s="48"/>
      <c r="E99" s="44"/>
      <c r="F99" s="469"/>
      <c r="I99" s="48"/>
      <c r="J99" s="48"/>
      <c r="K99" s="49"/>
      <c r="M99" s="48"/>
      <c r="O99" s="43"/>
      <c r="P99" s="43"/>
      <c r="Q99" s="43"/>
      <c r="R99" s="43"/>
    </row>
    <row r="100" spans="1:18" s="40" customFormat="1" ht="21.75" customHeight="1">
      <c r="A100" s="43"/>
      <c r="B100" s="48"/>
      <c r="C100" s="44"/>
      <c r="D100" s="48"/>
      <c r="E100" s="44"/>
      <c r="F100" s="469"/>
      <c r="I100" s="48"/>
      <c r="J100" s="48"/>
      <c r="K100" s="49"/>
      <c r="M100" s="48"/>
      <c r="O100" s="43"/>
      <c r="P100" s="43"/>
      <c r="Q100" s="43"/>
      <c r="R100" s="43"/>
    </row>
    <row r="101" spans="1:18" s="40" customFormat="1" ht="21.75" customHeight="1">
      <c r="A101" s="43"/>
      <c r="B101" s="48"/>
      <c r="C101" s="44"/>
      <c r="D101" s="48"/>
      <c r="E101" s="44"/>
      <c r="F101" s="469"/>
      <c r="I101" s="48"/>
      <c r="J101" s="48"/>
      <c r="K101" s="49"/>
      <c r="M101" s="48"/>
      <c r="O101" s="43"/>
      <c r="P101" s="43"/>
      <c r="Q101" s="43"/>
      <c r="R101" s="43"/>
    </row>
    <row r="102" spans="1:18" s="40" customFormat="1" ht="21.75" customHeight="1">
      <c r="A102" s="43"/>
      <c r="B102" s="48"/>
      <c r="C102" s="44"/>
      <c r="D102" s="48"/>
      <c r="E102" s="44"/>
      <c r="F102" s="469"/>
      <c r="I102" s="48"/>
      <c r="J102" s="48"/>
      <c r="K102" s="49"/>
      <c r="M102" s="48"/>
      <c r="O102" s="43"/>
      <c r="P102" s="43"/>
      <c r="Q102" s="43"/>
      <c r="R102" s="43"/>
    </row>
    <row r="103" spans="1:18" s="40" customFormat="1" ht="21.75" customHeight="1">
      <c r="A103" s="43"/>
      <c r="B103" s="48"/>
      <c r="C103" s="44"/>
      <c r="D103" s="48"/>
      <c r="E103" s="44"/>
      <c r="F103" s="469"/>
      <c r="I103" s="48"/>
      <c r="J103" s="48"/>
      <c r="K103" s="49"/>
      <c r="M103" s="48"/>
      <c r="O103" s="43"/>
      <c r="P103" s="43"/>
      <c r="Q103" s="43"/>
      <c r="R103" s="43"/>
    </row>
    <row r="104" spans="1:18" s="40" customFormat="1" ht="21.75" customHeight="1">
      <c r="A104" s="43"/>
      <c r="B104" s="48"/>
      <c r="C104" s="44"/>
      <c r="D104" s="48"/>
      <c r="E104" s="44"/>
      <c r="F104" s="469"/>
      <c r="I104" s="48"/>
      <c r="J104" s="48"/>
      <c r="K104" s="49"/>
      <c r="M104" s="48"/>
      <c r="O104" s="43"/>
      <c r="P104" s="43"/>
      <c r="Q104" s="43"/>
      <c r="R104" s="43"/>
    </row>
    <row r="105" spans="1:18" s="40" customFormat="1" ht="21.75" customHeight="1">
      <c r="A105" s="43"/>
      <c r="B105" s="48"/>
      <c r="C105" s="44"/>
      <c r="D105" s="48"/>
      <c r="E105" s="44"/>
      <c r="F105" s="469"/>
      <c r="I105" s="48"/>
      <c r="J105" s="48"/>
      <c r="K105" s="49"/>
      <c r="M105" s="48"/>
      <c r="O105" s="43"/>
      <c r="P105" s="43"/>
      <c r="Q105" s="43"/>
      <c r="R105" s="43"/>
    </row>
    <row r="106" spans="1:18" s="40" customFormat="1" ht="21.75" customHeight="1">
      <c r="A106" s="43"/>
      <c r="B106" s="48"/>
      <c r="C106" s="44"/>
      <c r="D106" s="48"/>
      <c r="E106" s="44"/>
      <c r="F106" s="469"/>
      <c r="I106" s="48"/>
      <c r="J106" s="48"/>
      <c r="K106" s="49"/>
      <c r="M106" s="48"/>
      <c r="O106" s="43"/>
      <c r="P106" s="43"/>
      <c r="Q106" s="43"/>
      <c r="R106" s="43"/>
    </row>
    <row r="107" spans="1:18" s="40" customFormat="1" ht="21.75" customHeight="1">
      <c r="A107" s="43"/>
      <c r="B107" s="48"/>
      <c r="C107" s="44"/>
      <c r="D107" s="48"/>
      <c r="E107" s="44"/>
      <c r="F107" s="469"/>
      <c r="I107" s="48"/>
      <c r="J107" s="48"/>
      <c r="K107" s="49"/>
      <c r="M107" s="48"/>
      <c r="O107" s="43"/>
      <c r="P107" s="43"/>
      <c r="Q107" s="43"/>
      <c r="R107" s="43"/>
    </row>
    <row r="108" spans="1:18" s="40" customFormat="1" ht="21.75" customHeight="1">
      <c r="A108" s="43"/>
      <c r="B108" s="48"/>
      <c r="C108" s="44"/>
      <c r="D108" s="48"/>
      <c r="E108" s="44"/>
      <c r="F108" s="469"/>
      <c r="I108" s="48"/>
      <c r="J108" s="48"/>
      <c r="K108" s="49"/>
      <c r="M108" s="48"/>
      <c r="O108" s="43"/>
      <c r="P108" s="43"/>
      <c r="Q108" s="43"/>
      <c r="R108" s="43"/>
    </row>
    <row r="109" spans="1:18" s="40" customFormat="1" ht="21.75" customHeight="1">
      <c r="A109" s="43"/>
      <c r="B109" s="48"/>
      <c r="C109" s="44"/>
      <c r="D109" s="48"/>
      <c r="E109" s="44"/>
      <c r="F109" s="469"/>
      <c r="I109" s="48"/>
      <c r="J109" s="48"/>
      <c r="K109" s="49"/>
      <c r="M109" s="48"/>
      <c r="O109" s="43"/>
      <c r="P109" s="43"/>
      <c r="Q109" s="43"/>
      <c r="R109" s="43"/>
    </row>
    <row r="110" spans="1:18" s="40" customFormat="1" ht="21.75" customHeight="1">
      <c r="A110" s="43"/>
      <c r="B110" s="48"/>
      <c r="C110" s="44"/>
      <c r="D110" s="48"/>
      <c r="E110" s="44"/>
      <c r="F110" s="469"/>
      <c r="I110" s="48"/>
      <c r="J110" s="48"/>
      <c r="K110" s="49"/>
      <c r="M110" s="48"/>
      <c r="O110" s="43"/>
      <c r="P110" s="43"/>
      <c r="Q110" s="43"/>
      <c r="R110" s="43"/>
    </row>
    <row r="111" spans="1:18" s="40" customFormat="1" ht="21.75" customHeight="1">
      <c r="A111" s="43"/>
      <c r="B111" s="48"/>
      <c r="C111" s="44"/>
      <c r="D111" s="48"/>
      <c r="E111" s="44"/>
      <c r="F111" s="469"/>
      <c r="I111" s="48"/>
      <c r="J111" s="48"/>
      <c r="K111" s="49"/>
      <c r="M111" s="48"/>
      <c r="O111" s="43"/>
      <c r="P111" s="43"/>
      <c r="Q111" s="43"/>
      <c r="R111" s="43"/>
    </row>
    <row r="112" spans="1:18" s="40" customFormat="1" ht="21.75" customHeight="1">
      <c r="A112" s="43"/>
      <c r="B112" s="48"/>
      <c r="C112" s="44"/>
      <c r="D112" s="48"/>
      <c r="E112" s="44"/>
      <c r="F112" s="469"/>
      <c r="I112" s="48"/>
      <c r="J112" s="48"/>
      <c r="K112" s="49"/>
      <c r="M112" s="48"/>
      <c r="O112" s="43"/>
      <c r="P112" s="43"/>
      <c r="Q112" s="43"/>
      <c r="R112" s="43"/>
    </row>
    <row r="113" spans="1:18" s="40" customFormat="1" ht="21.75" customHeight="1">
      <c r="A113" s="43"/>
      <c r="B113" s="48"/>
      <c r="C113" s="44"/>
      <c r="D113" s="48"/>
      <c r="E113" s="44"/>
      <c r="F113" s="469"/>
      <c r="I113" s="48"/>
      <c r="J113" s="48"/>
      <c r="K113" s="49"/>
      <c r="M113" s="48"/>
      <c r="O113" s="43"/>
      <c r="P113" s="43"/>
      <c r="Q113" s="43"/>
      <c r="R113" s="43"/>
    </row>
    <row r="114" spans="1:18" s="40" customFormat="1" ht="21.75" customHeight="1">
      <c r="A114" s="43"/>
      <c r="B114" s="48"/>
      <c r="C114" s="44"/>
      <c r="D114" s="48"/>
      <c r="E114" s="44"/>
      <c r="F114" s="469"/>
      <c r="I114" s="48"/>
      <c r="J114" s="48"/>
      <c r="K114" s="49"/>
      <c r="M114" s="48"/>
      <c r="O114" s="43"/>
      <c r="P114" s="43"/>
      <c r="Q114" s="43"/>
      <c r="R114" s="43"/>
    </row>
    <row r="115" spans="1:18" s="40" customFormat="1" ht="21.75" customHeight="1">
      <c r="A115" s="43"/>
      <c r="B115" s="48"/>
      <c r="C115" s="44"/>
      <c r="D115" s="48"/>
      <c r="E115" s="44"/>
      <c r="F115" s="469"/>
      <c r="I115" s="48"/>
      <c r="J115" s="48"/>
      <c r="K115" s="49"/>
      <c r="M115" s="48"/>
      <c r="O115" s="43"/>
      <c r="P115" s="43"/>
      <c r="Q115" s="43"/>
      <c r="R115" s="43"/>
    </row>
    <row r="116" spans="1:18" s="40" customFormat="1" ht="21.75" customHeight="1">
      <c r="A116" s="43"/>
      <c r="B116" s="48"/>
      <c r="C116" s="44"/>
      <c r="D116" s="48"/>
      <c r="E116" s="44"/>
      <c r="F116" s="469"/>
      <c r="I116" s="48"/>
      <c r="J116" s="48"/>
      <c r="K116" s="49"/>
      <c r="M116" s="48"/>
      <c r="O116" s="43"/>
      <c r="P116" s="43"/>
      <c r="Q116" s="43"/>
      <c r="R116" s="43"/>
    </row>
    <row r="117" spans="1:18" s="40" customFormat="1" ht="21.75" customHeight="1">
      <c r="A117" s="43"/>
      <c r="B117" s="48"/>
      <c r="C117" s="44"/>
      <c r="D117" s="48"/>
      <c r="E117" s="44"/>
      <c r="F117" s="469"/>
      <c r="I117" s="48"/>
      <c r="J117" s="48"/>
      <c r="K117" s="49"/>
      <c r="M117" s="48"/>
      <c r="O117" s="43"/>
      <c r="P117" s="43"/>
      <c r="Q117" s="43"/>
      <c r="R117" s="43"/>
    </row>
    <row r="118" spans="1:18" s="40" customFormat="1" ht="21.75" customHeight="1">
      <c r="A118" s="43"/>
      <c r="B118" s="48"/>
      <c r="C118" s="44"/>
      <c r="D118" s="48"/>
      <c r="E118" s="44"/>
      <c r="F118" s="469"/>
      <c r="I118" s="48"/>
      <c r="J118" s="48"/>
      <c r="K118" s="49"/>
      <c r="M118" s="48"/>
      <c r="O118" s="43"/>
      <c r="P118" s="43"/>
      <c r="Q118" s="43"/>
      <c r="R118" s="43"/>
    </row>
    <row r="119" spans="1:18" s="40" customFormat="1" ht="21.75" customHeight="1">
      <c r="A119" s="43"/>
      <c r="B119" s="48"/>
      <c r="C119" s="44"/>
      <c r="D119" s="48"/>
      <c r="E119" s="44"/>
      <c r="F119" s="469"/>
      <c r="I119" s="48"/>
      <c r="J119" s="48"/>
      <c r="K119" s="49"/>
      <c r="M119" s="48"/>
      <c r="O119" s="43"/>
      <c r="P119" s="43"/>
      <c r="Q119" s="43"/>
      <c r="R119" s="43"/>
    </row>
    <row r="120" spans="1:18" s="40" customFormat="1" ht="21.75" customHeight="1">
      <c r="A120" s="43"/>
      <c r="B120" s="48"/>
      <c r="C120" s="44"/>
      <c r="D120" s="48"/>
      <c r="E120" s="44"/>
      <c r="F120" s="469"/>
      <c r="I120" s="48"/>
      <c r="J120" s="48"/>
      <c r="K120" s="49"/>
      <c r="M120" s="48"/>
      <c r="O120" s="43"/>
      <c r="P120" s="43"/>
      <c r="Q120" s="43"/>
      <c r="R120" s="43"/>
    </row>
    <row r="121" spans="1:18" s="40" customFormat="1" ht="21.75" customHeight="1">
      <c r="A121" s="43"/>
      <c r="B121" s="48"/>
      <c r="C121" s="44"/>
      <c r="D121" s="48"/>
      <c r="E121" s="44"/>
      <c r="F121" s="469"/>
      <c r="I121" s="48"/>
      <c r="J121" s="48"/>
      <c r="K121" s="49"/>
      <c r="M121" s="48"/>
      <c r="O121" s="43"/>
      <c r="P121" s="43"/>
      <c r="Q121" s="43"/>
      <c r="R121" s="43"/>
    </row>
    <row r="122" spans="1:18" s="40" customFormat="1" ht="21.75" customHeight="1">
      <c r="A122" s="43"/>
      <c r="B122" s="48"/>
      <c r="C122" s="44"/>
      <c r="D122" s="48"/>
      <c r="E122" s="44"/>
      <c r="F122" s="469"/>
      <c r="I122" s="48"/>
      <c r="J122" s="48"/>
      <c r="K122" s="49"/>
      <c r="M122" s="48"/>
      <c r="O122" s="43"/>
      <c r="P122" s="43"/>
      <c r="Q122" s="43"/>
      <c r="R122" s="43"/>
    </row>
    <row r="123" spans="1:18" s="40" customFormat="1" ht="21.75" customHeight="1">
      <c r="A123" s="43"/>
      <c r="B123" s="48"/>
      <c r="C123" s="44"/>
      <c r="D123" s="48"/>
      <c r="E123" s="44"/>
      <c r="F123" s="469"/>
      <c r="I123" s="48"/>
      <c r="J123" s="48"/>
      <c r="K123" s="49"/>
      <c r="M123" s="48"/>
      <c r="O123" s="43"/>
      <c r="P123" s="43"/>
      <c r="Q123" s="43"/>
      <c r="R123" s="43"/>
    </row>
    <row r="124" spans="1:18" s="40" customFormat="1" ht="21.75" customHeight="1">
      <c r="A124" s="43"/>
      <c r="B124" s="48"/>
      <c r="C124" s="44"/>
      <c r="D124" s="48"/>
      <c r="E124" s="44"/>
      <c r="F124" s="469"/>
      <c r="I124" s="48"/>
      <c r="J124" s="48"/>
      <c r="K124" s="49"/>
      <c r="M124" s="48"/>
      <c r="O124" s="43"/>
      <c r="P124" s="43"/>
      <c r="Q124" s="43"/>
      <c r="R124" s="43"/>
    </row>
    <row r="125" spans="1:18" s="40" customFormat="1" ht="21.75" customHeight="1">
      <c r="A125" s="43"/>
      <c r="B125" s="48"/>
      <c r="C125" s="44"/>
      <c r="D125" s="48"/>
      <c r="E125" s="44"/>
      <c r="F125" s="469"/>
      <c r="I125" s="48"/>
      <c r="J125" s="48"/>
      <c r="K125" s="49"/>
      <c r="M125" s="48"/>
      <c r="O125" s="43"/>
      <c r="P125" s="43"/>
      <c r="Q125" s="43"/>
      <c r="R125" s="43"/>
    </row>
    <row r="126" spans="1:18" s="40" customFormat="1" ht="21.75" customHeight="1">
      <c r="A126" s="43"/>
      <c r="B126" s="48"/>
      <c r="C126" s="44"/>
      <c r="D126" s="48"/>
      <c r="E126" s="44"/>
      <c r="F126" s="469"/>
      <c r="I126" s="48"/>
      <c r="J126" s="48"/>
      <c r="K126" s="49"/>
      <c r="M126" s="48"/>
      <c r="O126" s="43"/>
      <c r="P126" s="43"/>
      <c r="Q126" s="43"/>
      <c r="R126" s="43"/>
    </row>
    <row r="127" spans="1:18" s="40" customFormat="1" ht="21.75" customHeight="1">
      <c r="A127" s="43"/>
      <c r="B127" s="48"/>
      <c r="C127" s="44"/>
      <c r="D127" s="48"/>
      <c r="E127" s="44"/>
      <c r="F127" s="469"/>
      <c r="I127" s="48"/>
      <c r="J127" s="48"/>
      <c r="K127" s="49"/>
      <c r="M127" s="48"/>
      <c r="O127" s="43"/>
      <c r="P127" s="43"/>
      <c r="Q127" s="43"/>
      <c r="R127" s="43"/>
    </row>
    <row r="128" spans="1:18" s="40" customFormat="1" ht="21.75" customHeight="1">
      <c r="A128" s="43"/>
      <c r="B128" s="48"/>
      <c r="C128" s="44"/>
      <c r="D128" s="48"/>
      <c r="E128" s="44"/>
      <c r="F128" s="469"/>
      <c r="I128" s="48"/>
      <c r="J128" s="48"/>
      <c r="K128" s="49"/>
      <c r="M128" s="48"/>
      <c r="O128" s="43"/>
      <c r="P128" s="43"/>
      <c r="Q128" s="43"/>
      <c r="R128" s="43"/>
    </row>
    <row r="129" spans="1:18" s="40" customFormat="1" ht="21.75" customHeight="1">
      <c r="A129" s="43"/>
      <c r="B129" s="48"/>
      <c r="C129" s="44"/>
      <c r="D129" s="48"/>
      <c r="E129" s="44"/>
      <c r="F129" s="469"/>
      <c r="I129" s="48"/>
      <c r="J129" s="48"/>
      <c r="K129" s="49"/>
      <c r="M129" s="48"/>
      <c r="O129" s="43"/>
      <c r="P129" s="43"/>
      <c r="Q129" s="43"/>
      <c r="R129" s="43"/>
    </row>
    <row r="130" spans="1:18" s="40" customFormat="1" ht="21.75" customHeight="1">
      <c r="A130" s="43"/>
      <c r="B130" s="48"/>
      <c r="C130" s="44"/>
      <c r="D130" s="48"/>
      <c r="E130" s="44"/>
      <c r="F130" s="469"/>
      <c r="I130" s="48"/>
      <c r="J130" s="48"/>
      <c r="K130" s="49"/>
      <c r="M130" s="48"/>
      <c r="O130" s="43"/>
      <c r="P130" s="43"/>
      <c r="Q130" s="43"/>
      <c r="R130" s="43"/>
    </row>
    <row r="131" spans="1:18" s="40" customFormat="1" ht="21.75" customHeight="1">
      <c r="A131" s="43"/>
      <c r="B131" s="48"/>
      <c r="C131" s="44"/>
      <c r="D131" s="48"/>
      <c r="E131" s="44"/>
      <c r="F131" s="469"/>
      <c r="I131" s="48"/>
      <c r="J131" s="48"/>
      <c r="K131" s="49"/>
      <c r="M131" s="48"/>
      <c r="O131" s="43"/>
      <c r="P131" s="43"/>
      <c r="Q131" s="43"/>
      <c r="R131" s="43"/>
    </row>
    <row r="132" spans="1:18" s="40" customFormat="1" ht="21.75" customHeight="1">
      <c r="A132" s="43"/>
      <c r="B132" s="48"/>
      <c r="C132" s="44"/>
      <c r="D132" s="48"/>
      <c r="E132" s="44"/>
      <c r="F132" s="469"/>
      <c r="I132" s="48"/>
      <c r="J132" s="48"/>
      <c r="K132" s="49"/>
      <c r="M132" s="48"/>
      <c r="O132" s="43"/>
      <c r="P132" s="43"/>
      <c r="Q132" s="43"/>
      <c r="R132" s="43"/>
    </row>
    <row r="133" spans="1:18" s="40" customFormat="1" ht="21.75" customHeight="1">
      <c r="A133" s="43"/>
      <c r="B133" s="48"/>
      <c r="C133" s="44"/>
      <c r="D133" s="48"/>
      <c r="E133" s="44"/>
      <c r="F133" s="469"/>
      <c r="I133" s="48"/>
      <c r="J133" s="48"/>
      <c r="K133" s="49"/>
      <c r="M133" s="48"/>
      <c r="O133" s="43"/>
      <c r="P133" s="43"/>
      <c r="Q133" s="43"/>
      <c r="R133" s="43"/>
    </row>
  </sheetData>
  <mergeCells count="14">
    <mergeCell ref="K5:L5"/>
    <mergeCell ref="M5:N5"/>
    <mergeCell ref="A5:A6"/>
    <mergeCell ref="B5:C5"/>
    <mergeCell ref="D5:E5"/>
    <mergeCell ref="F5:G5"/>
    <mergeCell ref="H5:H6"/>
    <mergeCell ref="I5:J5"/>
    <mergeCell ref="A1:N1"/>
    <mergeCell ref="A2:N2"/>
    <mergeCell ref="A3:C3"/>
    <mergeCell ref="M3:N3"/>
    <mergeCell ref="A4:G4"/>
    <mergeCell ref="H4:N4"/>
  </mergeCells>
  <phoneticPr fontId="2" type="noConversion"/>
  <printOptions horizontalCentered="1"/>
  <pageMargins left="0.78740157480314965" right="0.78740157480314965" top="0.78740157480314965" bottom="0.78740157480314965" header="1.1811023622047245" footer="0.39370078740157483"/>
  <pageSetup paperSize="9" scale="74" firstPageNumber="17" orientation="landscape" useFirstPageNumber="1" r:id="rId1"/>
  <headerFooter scaleWithDoc="0" alignWithMargins="0"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FK205"/>
  <sheetViews>
    <sheetView view="pageBreakPreview" zoomScale="85" zoomScaleNormal="85" zoomScaleSheetLayoutView="85" workbookViewId="0">
      <pane ySplit="7" topLeftCell="A8" activePane="bottomLeft" state="frozen"/>
      <selection pane="bottomLeft" activeCell="H21" sqref="H21"/>
    </sheetView>
  </sheetViews>
  <sheetFormatPr defaultColWidth="9" defaultRowHeight="21.75" customHeight="1"/>
  <cols>
    <col min="1" max="1" width="26.75" style="45" bestFit="1" customWidth="1"/>
    <col min="2" max="2" width="10.125" style="51" bestFit="1" customWidth="1"/>
    <col min="3" max="3" width="7.875" style="46" bestFit="1" customWidth="1"/>
    <col min="4" max="4" width="10.125" style="51" bestFit="1" customWidth="1"/>
    <col min="5" max="5" width="7.875" style="46" bestFit="1" customWidth="1"/>
    <col min="6" max="6" width="10.125" style="470" bestFit="1" customWidth="1"/>
    <col min="7" max="7" width="7.875" style="47" bestFit="1" customWidth="1"/>
    <col min="8" max="8" width="31.125" style="47" bestFit="1" customWidth="1"/>
    <col min="9" max="9" width="10.125" style="463" bestFit="1" customWidth="1"/>
    <col min="10" max="10" width="7.875" style="51" bestFit="1" customWidth="1"/>
    <col min="11" max="11" width="10.125" style="463" bestFit="1" customWidth="1"/>
    <col min="12" max="12" width="7.875" style="47" bestFit="1" customWidth="1"/>
    <col min="13" max="13" width="10.125" style="463" bestFit="1" customWidth="1"/>
    <col min="14" max="14" width="9" style="47" bestFit="1" customWidth="1"/>
    <col min="15" max="15" width="11.375" style="45" hidden="1" customWidth="1"/>
    <col min="16" max="16" width="13" style="45" hidden="1" customWidth="1"/>
    <col min="17" max="17" width="13.375" style="45" hidden="1" customWidth="1"/>
    <col min="18" max="18" width="11.5" style="47" hidden="1" customWidth="1"/>
    <col min="19" max="38" width="0" style="47" hidden="1" customWidth="1"/>
    <col min="39" max="16384" width="9" style="47"/>
  </cols>
  <sheetData>
    <row r="1" spans="1:167" s="2" customFormat="1" ht="34.5" customHeight="1">
      <c r="A1" s="1882" t="s">
        <v>2525</v>
      </c>
      <c r="B1" s="1882"/>
      <c r="C1" s="1882"/>
      <c r="D1" s="1882"/>
      <c r="E1" s="1882"/>
      <c r="F1" s="1882"/>
      <c r="G1" s="1882"/>
      <c r="H1" s="1882"/>
      <c r="I1" s="1882"/>
      <c r="J1" s="1882"/>
      <c r="K1" s="1882"/>
      <c r="L1" s="1882"/>
      <c r="M1" s="1882"/>
      <c r="N1" s="1882"/>
      <c r="O1" s="59"/>
      <c r="P1" s="59"/>
      <c r="Q1" s="59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</row>
    <row r="2" spans="1:167" s="2" customFormat="1" ht="17.25" customHeight="1">
      <c r="A2" s="1905"/>
      <c r="B2" s="1905"/>
      <c r="C2" s="1905"/>
      <c r="D2" s="1905"/>
      <c r="E2" s="1905"/>
      <c r="F2" s="1905"/>
      <c r="G2" s="1905"/>
      <c r="H2" s="1905"/>
      <c r="I2" s="1905"/>
      <c r="J2" s="1905"/>
      <c r="K2" s="1905"/>
      <c r="L2" s="1905"/>
      <c r="M2" s="1905"/>
      <c r="N2" s="1905"/>
      <c r="O2" s="59"/>
      <c r="P2" s="59"/>
      <c r="Q2" s="59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</row>
    <row r="3" spans="1:167" s="2" customFormat="1" ht="21.75" customHeight="1" thickBot="1">
      <c r="A3" s="1906"/>
      <c r="B3" s="1906"/>
      <c r="C3" s="1906"/>
      <c r="D3" s="467"/>
      <c r="E3" s="3"/>
      <c r="F3" s="468"/>
      <c r="G3" s="403"/>
      <c r="H3" s="1"/>
      <c r="I3" s="464"/>
      <c r="J3" s="1"/>
      <c r="K3" s="464"/>
      <c r="L3" s="1"/>
      <c r="M3" s="1907" t="s">
        <v>78</v>
      </c>
      <c r="N3" s="1907"/>
      <c r="O3" s="60"/>
      <c r="P3" s="59"/>
      <c r="Q3" s="5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</row>
    <row r="4" spans="1:167" s="2" customFormat="1" ht="20.100000000000001" customHeight="1">
      <c r="A4" s="1920" t="s">
        <v>79</v>
      </c>
      <c r="B4" s="1921"/>
      <c r="C4" s="1921"/>
      <c r="D4" s="1921"/>
      <c r="E4" s="1921"/>
      <c r="F4" s="1921"/>
      <c r="G4" s="1922"/>
      <c r="H4" s="1923" t="s">
        <v>50</v>
      </c>
      <c r="I4" s="1924"/>
      <c r="J4" s="1924"/>
      <c r="K4" s="1924"/>
      <c r="L4" s="1924"/>
      <c r="M4" s="1924"/>
      <c r="N4" s="1925"/>
      <c r="O4" s="60"/>
      <c r="P4" s="59"/>
      <c r="Q4" s="59"/>
      <c r="R4" s="1813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</row>
    <row r="5" spans="1:167" s="5" customFormat="1" ht="20.100000000000001" customHeight="1">
      <c r="A5" s="1928" t="s">
        <v>51</v>
      </c>
      <c r="B5" s="1930" t="s">
        <v>1619</v>
      </c>
      <c r="C5" s="1931"/>
      <c r="D5" s="1930" t="s">
        <v>1621</v>
      </c>
      <c r="E5" s="1931"/>
      <c r="F5" s="1930" t="s">
        <v>2556</v>
      </c>
      <c r="G5" s="1932"/>
      <c r="H5" s="1933" t="str">
        <f>A5</f>
        <v>예산과목</v>
      </c>
      <c r="I5" s="1926" t="str">
        <f>B5</f>
        <v>2018년예산액(A)</v>
      </c>
      <c r="J5" s="1926"/>
      <c r="K5" s="1926" t="str">
        <f>D5</f>
        <v>2017년예산액(B)</v>
      </c>
      <c r="L5" s="1926"/>
      <c r="M5" s="1926" t="s">
        <v>2556</v>
      </c>
      <c r="N5" s="1927"/>
      <c r="O5" s="61"/>
      <c r="P5" s="61"/>
      <c r="Q5" s="61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</row>
    <row r="6" spans="1:167" s="5" customFormat="1" ht="20.100000000000001" customHeight="1" thickBot="1">
      <c r="A6" s="1929"/>
      <c r="B6" s="1736" t="s">
        <v>2160</v>
      </c>
      <c r="C6" s="1736" t="s">
        <v>54</v>
      </c>
      <c r="D6" s="1736" t="s">
        <v>2160</v>
      </c>
      <c r="E6" s="1736" t="s">
        <v>54</v>
      </c>
      <c r="F6" s="1737" t="s">
        <v>55</v>
      </c>
      <c r="G6" s="1738" t="s">
        <v>56</v>
      </c>
      <c r="H6" s="1934"/>
      <c r="I6" s="549" t="s">
        <v>2160</v>
      </c>
      <c r="J6" s="550" t="s">
        <v>54</v>
      </c>
      <c r="K6" s="549" t="s">
        <v>2160</v>
      </c>
      <c r="L6" s="550" t="s">
        <v>54</v>
      </c>
      <c r="M6" s="551" t="s">
        <v>55</v>
      </c>
      <c r="N6" s="552" t="s">
        <v>56</v>
      </c>
      <c r="O6" s="61"/>
      <c r="P6" s="61"/>
      <c r="Q6" s="61"/>
      <c r="R6" s="4">
        <v>2018</v>
      </c>
      <c r="S6" s="4" t="s">
        <v>2589</v>
      </c>
      <c r="T6" s="4">
        <v>2017</v>
      </c>
      <c r="U6" s="4" t="s">
        <v>2589</v>
      </c>
      <c r="V6" s="4" t="s">
        <v>2592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</row>
    <row r="7" spans="1:167" s="5" customFormat="1" ht="21.95" customHeight="1">
      <c r="A7" s="543" t="s">
        <v>2129</v>
      </c>
      <c r="B7" s="544">
        <f>B8+B58</f>
        <v>8717874000</v>
      </c>
      <c r="C7" s="545">
        <f>C8+C58</f>
        <v>1</v>
      </c>
      <c r="D7" s="544">
        <f>D8+D58</f>
        <v>5825281000</v>
      </c>
      <c r="E7" s="545">
        <f>E8+E58</f>
        <v>1</v>
      </c>
      <c r="F7" s="544">
        <f>B7-D7</f>
        <v>2892593000</v>
      </c>
      <c r="G7" s="546">
        <f>F7/D7</f>
        <v>0.49655853511616005</v>
      </c>
      <c r="H7" s="547" t="str">
        <f>A7</f>
        <v>합      계</v>
      </c>
      <c r="I7" s="544">
        <f>I8+I58</f>
        <v>8717874000</v>
      </c>
      <c r="J7" s="545">
        <f>J8+J58</f>
        <v>1</v>
      </c>
      <c r="K7" s="544">
        <f>K8+K58</f>
        <v>5825281000</v>
      </c>
      <c r="L7" s="545">
        <f>L8+L58</f>
        <v>1</v>
      </c>
      <c r="M7" s="544">
        <f>I7-K7</f>
        <v>2892593000</v>
      </c>
      <c r="N7" s="548">
        <f>M7/K7</f>
        <v>0.49655853511616005</v>
      </c>
      <c r="O7" s="61"/>
      <c r="P7" s="61"/>
      <c r="Q7" s="1792" t="s">
        <v>2590</v>
      </c>
      <c r="R7" s="1795">
        <f>SUM(R8:R13)</f>
        <v>69776000</v>
      </c>
      <c r="S7" s="1793"/>
      <c r="T7" s="1795">
        <f>SUM(T8:T13)</f>
        <v>52500000</v>
      </c>
      <c r="U7" s="1793"/>
      <c r="V7" s="1794">
        <f>R7-T7</f>
        <v>17276000</v>
      </c>
      <c r="W7" s="1796">
        <f>V7/T7</f>
        <v>0.32906666666666667</v>
      </c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</row>
    <row r="8" spans="1:167" s="5" customFormat="1" ht="21.95" customHeight="1">
      <c r="A8" s="477" t="s">
        <v>104</v>
      </c>
      <c r="B8" s="441">
        <f>B9+B17+B27+B40+B42</f>
        <v>6304332000</v>
      </c>
      <c r="C8" s="1788">
        <f>B8/$B$7</f>
        <v>0.72315016252815767</v>
      </c>
      <c r="D8" s="441">
        <f>D9+D17+D27+D40+D42</f>
        <v>4411881000</v>
      </c>
      <c r="E8" s="1788">
        <f>D8/$D$7</f>
        <v>0.75736792783043427</v>
      </c>
      <c r="F8" s="441">
        <f>B8-D8</f>
        <v>1892451000</v>
      </c>
      <c r="G8" s="7">
        <f>F8/D8</f>
        <v>0.42894425302949013</v>
      </c>
      <c r="H8" s="6" t="s">
        <v>64</v>
      </c>
      <c r="I8" s="441">
        <f>I9+I22+I35+I47+I53+I55</f>
        <v>6299764000</v>
      </c>
      <c r="J8" s="53">
        <f>I8/$I$7</f>
        <v>0.72262618156674441</v>
      </c>
      <c r="K8" s="441">
        <f>K9+K22+K35+K47+K53+K55</f>
        <v>4404978000</v>
      </c>
      <c r="L8" s="53">
        <f>K8/$K$7</f>
        <v>0.75618292061790671</v>
      </c>
      <c r="M8" s="441">
        <f>I8-K8</f>
        <v>1894786000</v>
      </c>
      <c r="N8" s="478">
        <f>M8/K8</f>
        <v>0.43014652967619815</v>
      </c>
      <c r="O8" s="61"/>
      <c r="P8" s="61" t="s">
        <v>2577</v>
      </c>
      <c r="Q8" s="1791" t="s">
        <v>2578</v>
      </c>
      <c r="R8" s="1794">
        <v>0</v>
      </c>
      <c r="S8" s="1794"/>
      <c r="T8" s="1794">
        <v>0</v>
      </c>
      <c r="U8" s="4"/>
      <c r="V8" s="1794">
        <f t="shared" ref="V8:V19" si="0">R8-T8</f>
        <v>0</v>
      </c>
      <c r="W8" s="1796" t="e">
        <f t="shared" ref="W8:W17" si="1">V8/T8</f>
        <v>#DIV/0!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</row>
    <row r="9" spans="1:167" s="12" customFormat="1" ht="21.95" customHeight="1">
      <c r="A9" s="479" t="s">
        <v>20</v>
      </c>
      <c r="B9" s="442">
        <f>SUM(B10:B16)</f>
        <v>4598613000</v>
      </c>
      <c r="C9" s="9">
        <f>B9/$B$7</f>
        <v>0.52749248268557214</v>
      </c>
      <c r="D9" s="448">
        <f>SUM(D10:D16)</f>
        <v>2265578000</v>
      </c>
      <c r="E9" s="9">
        <f>D9/$D$7</f>
        <v>0.3889216674697753</v>
      </c>
      <c r="F9" s="448">
        <f>B9-D9</f>
        <v>2333035000</v>
      </c>
      <c r="G9" s="10">
        <f>F9/D9</f>
        <v>1.0297747418098162</v>
      </c>
      <c r="H9" s="8" t="s">
        <v>124</v>
      </c>
      <c r="I9" s="448">
        <f>SUM(I10:I21)</f>
        <v>3051022000</v>
      </c>
      <c r="J9" s="9">
        <f>I9/$I$7</f>
        <v>0.34997317006416934</v>
      </c>
      <c r="K9" s="448">
        <f>SUM(K10:K21)</f>
        <v>2297396000</v>
      </c>
      <c r="L9" s="9">
        <f>K9/$K$7</f>
        <v>0.39438372157497636</v>
      </c>
      <c r="M9" s="448">
        <f>I9-K9</f>
        <v>753626000</v>
      </c>
      <c r="N9" s="489">
        <f>M9/K9</f>
        <v>0.32803487078413995</v>
      </c>
      <c r="O9" s="62"/>
      <c r="P9" s="62"/>
      <c r="Q9" s="1791" t="s">
        <v>2579</v>
      </c>
      <c r="R9" s="11">
        <v>0</v>
      </c>
      <c r="S9" s="11"/>
      <c r="T9" s="11">
        <v>0</v>
      </c>
      <c r="U9" s="11"/>
      <c r="V9" s="1794">
        <f t="shared" si="0"/>
        <v>0</v>
      </c>
      <c r="W9" s="1796">
        <v>0</v>
      </c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</row>
    <row r="10" spans="1:167" s="5" customFormat="1" ht="21.95" customHeight="1">
      <c r="A10" s="480" t="s">
        <v>2164</v>
      </c>
      <c r="B10" s="443">
        <f>세입예산총괄표2!B10</f>
        <v>1600000000</v>
      </c>
      <c r="C10" s="14">
        <f>B10/$B$7</f>
        <v>0.18353098473320445</v>
      </c>
      <c r="D10" s="443">
        <f>세입예산총괄표2!D10</f>
        <v>752528000</v>
      </c>
      <c r="E10" s="14">
        <f>D10/$D$7</f>
        <v>0.12918312438490093</v>
      </c>
      <c r="F10" s="444">
        <f>B10-D10</f>
        <v>847472000</v>
      </c>
      <c r="G10" s="15">
        <f>F10/D10</f>
        <v>1.1261667339952799</v>
      </c>
      <c r="H10" s="13" t="s">
        <v>1623</v>
      </c>
      <c r="I10" s="443">
        <f>세출총괄표4!B10</f>
        <v>545114000</v>
      </c>
      <c r="J10" s="14">
        <f>I10/$I$7</f>
        <v>6.2528318257410009E-2</v>
      </c>
      <c r="K10" s="443">
        <f>세출총괄표4!D10</f>
        <v>456347000</v>
      </c>
      <c r="L10" s="14">
        <f>K10/$K$7</f>
        <v>7.8339053515186649E-2</v>
      </c>
      <c r="M10" s="444">
        <f>I10-K10</f>
        <v>88767000</v>
      </c>
      <c r="N10" s="481">
        <f>M10/K10</f>
        <v>0.1945164534882447</v>
      </c>
      <c r="O10" s="62"/>
      <c r="P10" s="62"/>
      <c r="Q10" s="1791" t="s">
        <v>2580</v>
      </c>
      <c r="R10" s="1794">
        <f>B81</f>
        <v>2400000</v>
      </c>
      <c r="S10" s="1796">
        <f>R10/$R$7</f>
        <v>3.4395780784223805E-2</v>
      </c>
      <c r="T10" s="1794">
        <f t="shared" ref="T10" si="2">D81</f>
        <v>0</v>
      </c>
      <c r="U10" s="4"/>
      <c r="V10" s="1794">
        <f t="shared" si="0"/>
        <v>2400000</v>
      </c>
      <c r="W10" s="1796">
        <v>1</v>
      </c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</row>
    <row r="11" spans="1:167" s="5" customFormat="1" ht="21.95" customHeight="1">
      <c r="A11" s="482" t="s">
        <v>66</v>
      </c>
      <c r="B11" s="444">
        <f>세입예산총괄표2!B11</f>
        <v>861000000</v>
      </c>
      <c r="C11" s="17">
        <f>B11/$B$7</f>
        <v>9.8762611159555647E-2</v>
      </c>
      <c r="D11" s="444">
        <f>세입예산총괄표2!D11</f>
        <v>861000000</v>
      </c>
      <c r="E11" s="14">
        <f>D11/$D$7</f>
        <v>0.14780402868119152</v>
      </c>
      <c r="F11" s="444">
        <f>B11-D11</f>
        <v>0</v>
      </c>
      <c r="G11" s="18">
        <f>F11/D11</f>
        <v>0</v>
      </c>
      <c r="H11" s="16" t="s">
        <v>30</v>
      </c>
      <c r="I11" s="444">
        <f>세출총괄표4!B11</f>
        <v>518616000</v>
      </c>
      <c r="J11" s="17">
        <f>I11/$I$7</f>
        <v>5.9488815736497225E-2</v>
      </c>
      <c r="K11" s="444">
        <f>세출총괄표4!D11</f>
        <v>501971000</v>
      </c>
      <c r="L11" s="14">
        <f>K11/$K$7</f>
        <v>8.6171122045442958E-2</v>
      </c>
      <c r="M11" s="444">
        <f>I11-K11</f>
        <v>16645000</v>
      </c>
      <c r="N11" s="483">
        <f>M11/K11</f>
        <v>3.3159286094216596E-2</v>
      </c>
      <c r="O11" s="62"/>
      <c r="P11" s="62"/>
      <c r="Q11" s="1791" t="s">
        <v>2581</v>
      </c>
      <c r="R11" s="1794">
        <f>B39</f>
        <v>6000</v>
      </c>
      <c r="S11" s="1794"/>
      <c r="T11" s="1794">
        <f t="shared" ref="T11" si="3">D39</f>
        <v>0</v>
      </c>
      <c r="U11" s="4"/>
      <c r="V11" s="1794">
        <f t="shared" si="0"/>
        <v>6000</v>
      </c>
      <c r="W11" s="1796">
        <v>1</v>
      </c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</row>
    <row r="12" spans="1:167" s="5" customFormat="1" ht="21.95" customHeight="1">
      <c r="A12" s="482" t="s">
        <v>2166</v>
      </c>
      <c r="B12" s="444">
        <f>세입예산총괄표2!B12</f>
        <v>324988000</v>
      </c>
      <c r="C12" s="17">
        <f t="shared" ref="C12:C41" si="4">B12/$B$7</f>
        <v>3.7278354791546654E-2</v>
      </c>
      <c r="D12" s="444">
        <f>세입예산총괄표2!D12</f>
        <v>231000000</v>
      </c>
      <c r="E12" s="14">
        <f t="shared" ref="E12:E41" si="5">D12/$D$7</f>
        <v>3.9654739402270892E-2</v>
      </c>
      <c r="F12" s="444">
        <f t="shared" ref="F12:F16" si="6">B12-D12</f>
        <v>93988000</v>
      </c>
      <c r="G12" s="18">
        <f t="shared" ref="G12:G15" si="7">F12/D12</f>
        <v>0.40687445887445889</v>
      </c>
      <c r="H12" s="16" t="s">
        <v>1629</v>
      </c>
      <c r="I12" s="444">
        <f>세출총괄표4!B12</f>
        <v>176359000</v>
      </c>
      <c r="J12" s="17">
        <f t="shared" ref="J12:J21" si="8">I12/$I$7</f>
        <v>2.0229588085352003E-2</v>
      </c>
      <c r="K12" s="444">
        <f>세출총괄표4!D12</f>
        <v>170770000</v>
      </c>
      <c r="L12" s="14">
        <f t="shared" ref="L12:L21" si="9">K12/$K$7</f>
        <v>2.9315324016129008E-2</v>
      </c>
      <c r="M12" s="444">
        <f t="shared" ref="M12:M21" si="10">I12-K12</f>
        <v>5589000</v>
      </c>
      <c r="N12" s="483">
        <f t="shared" ref="N12:N21" si="11">M12/K12</f>
        <v>3.2728230953914625E-2</v>
      </c>
      <c r="O12" s="62"/>
      <c r="P12" s="62"/>
      <c r="Q12" s="1791" t="s">
        <v>2582</v>
      </c>
      <c r="R12" s="1794">
        <f>B26</f>
        <v>67370000</v>
      </c>
      <c r="S12" s="1796">
        <f>R12/$R$7</f>
        <v>0.96551822976381563</v>
      </c>
      <c r="T12" s="1794">
        <f t="shared" ref="T12" si="12">D26</f>
        <v>52500000</v>
      </c>
      <c r="U12" s="4"/>
      <c r="V12" s="1794">
        <f t="shared" si="0"/>
        <v>14870000</v>
      </c>
      <c r="W12" s="1796">
        <f t="shared" si="1"/>
        <v>0.28323809523809523</v>
      </c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</row>
    <row r="13" spans="1:167" s="5" customFormat="1" ht="21.95" customHeight="1">
      <c r="A13" s="482" t="s">
        <v>2167</v>
      </c>
      <c r="B13" s="444">
        <f>세입예산총괄표2!B13</f>
        <v>331348000</v>
      </c>
      <c r="C13" s="17">
        <f t="shared" si="4"/>
        <v>3.8007890455861143E-2</v>
      </c>
      <c r="D13" s="444">
        <f>세입예산총괄표2!D13</f>
        <v>221550000</v>
      </c>
      <c r="E13" s="14">
        <f t="shared" si="5"/>
        <v>3.8032500063087088E-2</v>
      </c>
      <c r="F13" s="444">
        <f t="shared" si="6"/>
        <v>109798000</v>
      </c>
      <c r="G13" s="18">
        <f t="shared" si="7"/>
        <v>0.49559016023470998</v>
      </c>
      <c r="H13" s="16" t="s">
        <v>1624</v>
      </c>
      <c r="I13" s="444">
        <f>세출총괄표4!B13</f>
        <v>185845000</v>
      </c>
      <c r="J13" s="17">
        <f t="shared" si="8"/>
        <v>2.1317697411088989E-2</v>
      </c>
      <c r="K13" s="444">
        <f>세출총괄표4!D13</f>
        <v>132723000</v>
      </c>
      <c r="L13" s="14">
        <f t="shared" si="9"/>
        <v>2.2783965271374891E-2</v>
      </c>
      <c r="M13" s="444">
        <f t="shared" si="10"/>
        <v>53122000</v>
      </c>
      <c r="N13" s="483">
        <f t="shared" si="11"/>
        <v>0.40024713124326605</v>
      </c>
      <c r="O13" s="62"/>
      <c r="P13" s="62"/>
      <c r="Q13" s="1791" t="s">
        <v>2583</v>
      </c>
      <c r="R13" s="4">
        <v>0</v>
      </c>
      <c r="S13" s="4">
        <v>0</v>
      </c>
      <c r="T13" s="4">
        <v>0</v>
      </c>
      <c r="U13" s="4"/>
      <c r="V13" s="1794">
        <f t="shared" si="0"/>
        <v>0</v>
      </c>
      <c r="W13" s="1796">
        <v>0</v>
      </c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</row>
    <row r="14" spans="1:167" s="5" customFormat="1" ht="21.95" customHeight="1">
      <c r="A14" s="482" t="s">
        <v>74</v>
      </c>
      <c r="B14" s="444">
        <f>세입예산총괄표2!B14</f>
        <v>216088000</v>
      </c>
      <c r="C14" s="17">
        <f t="shared" si="4"/>
        <v>2.4786777143142927E-2</v>
      </c>
      <c r="D14" s="444">
        <f>세입예산총괄표2!D14</f>
        <v>152250000</v>
      </c>
      <c r="E14" s="14">
        <f t="shared" si="5"/>
        <v>2.6136078242405818E-2</v>
      </c>
      <c r="F14" s="444">
        <f t="shared" si="6"/>
        <v>63838000</v>
      </c>
      <c r="G14" s="18">
        <f t="shared" si="7"/>
        <v>0.41929720853858787</v>
      </c>
      <c r="H14" s="16" t="s">
        <v>1625</v>
      </c>
      <c r="I14" s="444">
        <f>세출총괄표4!B14</f>
        <v>133061000</v>
      </c>
      <c r="J14" s="17">
        <f t="shared" si="8"/>
        <v>1.5263010224740574E-2</v>
      </c>
      <c r="K14" s="444">
        <f>세출총괄표4!D14</f>
        <v>115502000</v>
      </c>
      <c r="L14" s="14">
        <f t="shared" si="9"/>
        <v>1.9827713032212525E-2</v>
      </c>
      <c r="M14" s="444">
        <f t="shared" si="10"/>
        <v>17559000</v>
      </c>
      <c r="N14" s="483">
        <f t="shared" si="11"/>
        <v>0.15202334158715866</v>
      </c>
      <c r="O14" s="62"/>
      <c r="P14" s="62"/>
      <c r="Q14" s="62" t="s">
        <v>2591</v>
      </c>
      <c r="R14" s="1797">
        <f>SUM(R15:R19)</f>
        <v>69776000</v>
      </c>
      <c r="S14" s="4"/>
      <c r="T14" s="1797">
        <f>SUM(T15:T19)</f>
        <v>52500000</v>
      </c>
      <c r="U14" s="4"/>
      <c r="V14" s="1794">
        <f>R14-T14</f>
        <v>17276000</v>
      </c>
      <c r="W14" s="1796">
        <f t="shared" si="1"/>
        <v>0.32906666666666667</v>
      </c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</row>
    <row r="15" spans="1:167" s="5" customFormat="1" ht="21.95" customHeight="1">
      <c r="A15" s="482" t="s">
        <v>2141</v>
      </c>
      <c r="B15" s="444">
        <f>세입예산총괄표2!B15</f>
        <v>65189000</v>
      </c>
      <c r="C15" s="17">
        <f t="shared" si="4"/>
        <v>7.4776258523580408E-3</v>
      </c>
      <c r="D15" s="444">
        <f>세입예산총괄표2!D15</f>
        <v>47250000</v>
      </c>
      <c r="E15" s="14">
        <f t="shared" si="5"/>
        <v>8.1111966959190474E-3</v>
      </c>
      <c r="F15" s="444">
        <f t="shared" si="6"/>
        <v>17939000</v>
      </c>
      <c r="G15" s="18">
        <f t="shared" si="7"/>
        <v>0.37966137566137564</v>
      </c>
      <c r="H15" s="16" t="s">
        <v>2141</v>
      </c>
      <c r="I15" s="444">
        <f>세출총괄표4!B15</f>
        <v>46863000</v>
      </c>
      <c r="J15" s="17">
        <f t="shared" si="8"/>
        <v>5.3755078359701003E-3</v>
      </c>
      <c r="K15" s="444">
        <f>세출총괄표4!D15</f>
        <v>32193000</v>
      </c>
      <c r="L15" s="14">
        <f t="shared" si="9"/>
        <v>5.5264286821528437E-3</v>
      </c>
      <c r="M15" s="444">
        <f t="shared" si="10"/>
        <v>14670000</v>
      </c>
      <c r="N15" s="483">
        <f t="shared" si="11"/>
        <v>0.45568912496505454</v>
      </c>
      <c r="O15" s="62"/>
      <c r="P15" s="62"/>
      <c r="Q15" s="1791" t="s">
        <v>2584</v>
      </c>
      <c r="R15" s="1794">
        <f>I21</f>
        <v>37200000</v>
      </c>
      <c r="S15" s="1796">
        <f>R15/$R$14</f>
        <v>0.53313460215546893</v>
      </c>
      <c r="T15" s="1794">
        <f t="shared" ref="T15" si="13">K21</f>
        <v>25200000</v>
      </c>
      <c r="U15" s="1796">
        <f>T15/$T$14</f>
        <v>0.48</v>
      </c>
      <c r="V15" s="1794">
        <f t="shared" si="0"/>
        <v>12000000</v>
      </c>
      <c r="W15" s="1796">
        <f t="shared" si="1"/>
        <v>0.47619047619047616</v>
      </c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</row>
    <row r="16" spans="1:167" s="5" customFormat="1" ht="21.95" customHeight="1">
      <c r="A16" s="482" t="s">
        <v>2127</v>
      </c>
      <c r="B16" s="444">
        <f>세입예산총괄표2!B16</f>
        <v>1200000000</v>
      </c>
      <c r="C16" s="17">
        <f t="shared" si="4"/>
        <v>0.13764823854990332</v>
      </c>
      <c r="D16" s="444">
        <f>세입예산총괄표2!D16</f>
        <v>0</v>
      </c>
      <c r="E16" s="14">
        <f t="shared" si="5"/>
        <v>0</v>
      </c>
      <c r="F16" s="444">
        <f t="shared" si="6"/>
        <v>1200000000</v>
      </c>
      <c r="G16" s="18">
        <v>1</v>
      </c>
      <c r="H16" s="16" t="s">
        <v>2127</v>
      </c>
      <c r="I16" s="444">
        <f>세출총괄표4!B16</f>
        <v>500000000</v>
      </c>
      <c r="J16" s="17">
        <f t="shared" si="8"/>
        <v>5.7353432729126387E-2</v>
      </c>
      <c r="K16" s="444">
        <f>세출총괄표4!D16</f>
        <v>0</v>
      </c>
      <c r="L16" s="14">
        <f t="shared" si="9"/>
        <v>0</v>
      </c>
      <c r="M16" s="444">
        <f t="shared" si="10"/>
        <v>500000000</v>
      </c>
      <c r="N16" s="483">
        <v>1</v>
      </c>
      <c r="O16" s="62"/>
      <c r="P16" s="62"/>
      <c r="Q16" s="1791" t="s">
        <v>2585</v>
      </c>
      <c r="R16" s="1794">
        <f>I34</f>
        <v>19670000</v>
      </c>
      <c r="S16" s="1796">
        <f t="shared" ref="S16:S19" si="14">R16/$R$14</f>
        <v>0.2819020866773676</v>
      </c>
      <c r="T16" s="1794">
        <f t="shared" ref="T16" si="15">K34</f>
        <v>17150000</v>
      </c>
      <c r="U16" s="1796">
        <f t="shared" ref="U16:U19" si="16">T16/$T$14</f>
        <v>0.32666666666666666</v>
      </c>
      <c r="V16" s="1794">
        <f t="shared" si="0"/>
        <v>2520000</v>
      </c>
      <c r="W16" s="1796">
        <f t="shared" si="1"/>
        <v>0.14693877551020409</v>
      </c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</row>
    <row r="17" spans="1:167" s="5" customFormat="1" ht="21.95" customHeight="1">
      <c r="A17" s="484" t="s">
        <v>2171</v>
      </c>
      <c r="B17" s="445">
        <f>SUM(B18:B26)</f>
        <v>1401151000</v>
      </c>
      <c r="C17" s="20">
        <f>B17/$B$7</f>
        <v>0.16072163924369634</v>
      </c>
      <c r="D17" s="445">
        <f>SUM(D18:D26)</f>
        <v>2057875000</v>
      </c>
      <c r="E17" s="21">
        <f>D17/$D$7</f>
        <v>0.35326622011882347</v>
      </c>
      <c r="F17" s="445">
        <f>B17-D17</f>
        <v>-656724000</v>
      </c>
      <c r="G17" s="22">
        <f>F17/D17</f>
        <v>-0.31912725505679401</v>
      </c>
      <c r="H17" s="16" t="s">
        <v>1626</v>
      </c>
      <c r="I17" s="444">
        <f>세출총괄표4!B17</f>
        <v>574933000</v>
      </c>
      <c r="J17" s="17">
        <f t="shared" si="8"/>
        <v>6.594876227850964E-2</v>
      </c>
      <c r="K17" s="444">
        <f>세출총괄표4!D17</f>
        <v>597800000</v>
      </c>
      <c r="L17" s="14">
        <f t="shared" si="9"/>
        <v>0.10262165893799802</v>
      </c>
      <c r="M17" s="444">
        <f t="shared" si="10"/>
        <v>-22867000</v>
      </c>
      <c r="N17" s="483">
        <f t="shared" si="11"/>
        <v>-3.8251923720307793E-2</v>
      </c>
      <c r="O17" s="62"/>
      <c r="P17" s="62"/>
      <c r="Q17" s="1791" t="s">
        <v>2586</v>
      </c>
      <c r="R17" s="1794">
        <f>I46</f>
        <v>10500000</v>
      </c>
      <c r="S17" s="1796">
        <f t="shared" si="14"/>
        <v>0.15048154093097912</v>
      </c>
      <c r="T17" s="1794">
        <f t="shared" ref="T17" si="17">K46</f>
        <v>10150000</v>
      </c>
      <c r="U17" s="1796">
        <f t="shared" si="16"/>
        <v>0.19333333333333333</v>
      </c>
      <c r="V17" s="1794">
        <f t="shared" si="0"/>
        <v>350000</v>
      </c>
      <c r="W17" s="1796">
        <f t="shared" si="1"/>
        <v>3.4482758620689655E-2</v>
      </c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</row>
    <row r="18" spans="1:167" s="5" customFormat="1" ht="21.95" customHeight="1">
      <c r="A18" s="480" t="s">
        <v>81</v>
      </c>
      <c r="B18" s="446">
        <f>세입예산총괄표2!B18</f>
        <v>0</v>
      </c>
      <c r="C18" s="14">
        <f t="shared" si="4"/>
        <v>0</v>
      </c>
      <c r="D18" s="443">
        <f>세입예산총괄표2!D18</f>
        <v>853000000</v>
      </c>
      <c r="E18" s="14">
        <f t="shared" si="5"/>
        <v>0.14643070437288777</v>
      </c>
      <c r="F18" s="444">
        <f>B18-D18</f>
        <v>-853000000</v>
      </c>
      <c r="G18" s="15">
        <f>F18/D18</f>
        <v>-1</v>
      </c>
      <c r="H18" s="16" t="s">
        <v>1627</v>
      </c>
      <c r="I18" s="444">
        <f>세출총괄표4!B18</f>
        <v>224951000</v>
      </c>
      <c r="J18" s="17">
        <f t="shared" si="8"/>
        <v>2.5803424091699421E-2</v>
      </c>
      <c r="K18" s="444">
        <f>세출총괄표4!D18</f>
        <v>184510000</v>
      </c>
      <c r="L18" s="14">
        <f t="shared" si="9"/>
        <v>3.1674008515640707E-2</v>
      </c>
      <c r="M18" s="444">
        <f t="shared" si="10"/>
        <v>40441000</v>
      </c>
      <c r="N18" s="483">
        <f t="shared" si="11"/>
        <v>0.21918053222047584</v>
      </c>
      <c r="O18" s="62"/>
      <c r="P18" s="62"/>
      <c r="Q18" s="1791" t="s">
        <v>2587</v>
      </c>
      <c r="R18" s="1794">
        <f>I76</f>
        <v>2400000</v>
      </c>
      <c r="S18" s="1796">
        <f t="shared" si="14"/>
        <v>3.4395780784223805E-2</v>
      </c>
      <c r="T18" s="1794">
        <f t="shared" ref="T18" si="18">K76</f>
        <v>0</v>
      </c>
      <c r="U18" s="1796">
        <f t="shared" si="16"/>
        <v>0</v>
      </c>
      <c r="V18" s="1794">
        <f t="shared" si="0"/>
        <v>2400000</v>
      </c>
      <c r="W18" s="1796">
        <v>1</v>
      </c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</row>
    <row r="19" spans="1:167" s="5" customFormat="1" ht="21.95" customHeight="1">
      <c r="A19" s="482" t="s">
        <v>30</v>
      </c>
      <c r="B19" s="446">
        <f>세입예산총괄표2!B19</f>
        <v>0</v>
      </c>
      <c r="C19" s="17">
        <f t="shared" si="4"/>
        <v>0</v>
      </c>
      <c r="D19" s="446">
        <f>세입예산총괄표2!D19</f>
        <v>0</v>
      </c>
      <c r="E19" s="17">
        <f t="shared" si="5"/>
        <v>0</v>
      </c>
      <c r="F19" s="446">
        <f>B19-D19</f>
        <v>0</v>
      </c>
      <c r="G19" s="18">
        <v>0</v>
      </c>
      <c r="H19" s="16" t="s">
        <v>1628</v>
      </c>
      <c r="I19" s="444">
        <f>세출총괄표4!B19</f>
        <v>63200000</v>
      </c>
      <c r="J19" s="17">
        <f t="shared" si="8"/>
        <v>7.2494738969615755E-3</v>
      </c>
      <c r="K19" s="444">
        <f>세출총괄표4!D19</f>
        <v>42000000</v>
      </c>
      <c r="L19" s="14">
        <f t="shared" si="9"/>
        <v>7.209952618594708E-3</v>
      </c>
      <c r="M19" s="444">
        <f t="shared" si="10"/>
        <v>21200000</v>
      </c>
      <c r="N19" s="483">
        <f t="shared" si="11"/>
        <v>0.50476190476190474</v>
      </c>
      <c r="O19" s="62"/>
      <c r="P19" s="62"/>
      <c r="Q19" s="1791" t="s">
        <v>2588</v>
      </c>
      <c r="R19" s="1794">
        <f>I95</f>
        <v>6000</v>
      </c>
      <c r="S19" s="1796">
        <f t="shared" si="14"/>
        <v>8.5989451960559506E-5</v>
      </c>
      <c r="T19" s="1794">
        <f t="shared" ref="T19" si="19">K95</f>
        <v>0</v>
      </c>
      <c r="U19" s="1796">
        <f t="shared" si="16"/>
        <v>0</v>
      </c>
      <c r="V19" s="1794">
        <f t="shared" si="0"/>
        <v>6000</v>
      </c>
      <c r="W19" s="1796">
        <v>1</v>
      </c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</row>
    <row r="20" spans="1:167" s="5" customFormat="1" ht="21.95" customHeight="1">
      <c r="A20" s="482" t="s">
        <v>63</v>
      </c>
      <c r="B20" s="446">
        <f>세입예산총괄표2!B20</f>
        <v>0</v>
      </c>
      <c r="C20" s="17">
        <f t="shared" si="4"/>
        <v>0</v>
      </c>
      <c r="D20" s="446">
        <f>세입예산총괄표2!D20</f>
        <v>0</v>
      </c>
      <c r="E20" s="17">
        <f t="shared" si="5"/>
        <v>0</v>
      </c>
      <c r="F20" s="446">
        <f t="shared" ref="F20:F26" si="20">B20-D20</f>
        <v>0</v>
      </c>
      <c r="G20" s="18">
        <v>0</v>
      </c>
      <c r="H20" s="16" t="s">
        <v>2515</v>
      </c>
      <c r="I20" s="444">
        <f>세출총괄표4!B20</f>
        <v>44880000</v>
      </c>
      <c r="J20" s="17">
        <f t="shared" si="8"/>
        <v>5.1480441217663844E-3</v>
      </c>
      <c r="K20" s="444">
        <f>세출총괄표4!D20</f>
        <v>38380000</v>
      </c>
      <c r="L20" s="14">
        <f t="shared" si="9"/>
        <v>6.5885233690872597E-3</v>
      </c>
      <c r="M20" s="444">
        <f t="shared" si="10"/>
        <v>6500000</v>
      </c>
      <c r="N20" s="483">
        <f t="shared" si="11"/>
        <v>0.16935904116727463</v>
      </c>
      <c r="O20" s="62"/>
      <c r="P20" s="62"/>
      <c r="Q20" s="62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</row>
    <row r="21" spans="1:167" s="5" customFormat="1" ht="21.95" customHeight="1">
      <c r="A21" s="482" t="s">
        <v>71</v>
      </c>
      <c r="B21" s="446">
        <f>세입예산총괄표2!B21</f>
        <v>0</v>
      </c>
      <c r="C21" s="17">
        <f t="shared" si="4"/>
        <v>0</v>
      </c>
      <c r="D21" s="446">
        <f>세입예산총괄표2!D21</f>
        <v>0</v>
      </c>
      <c r="E21" s="17">
        <f t="shared" si="5"/>
        <v>0</v>
      </c>
      <c r="F21" s="446">
        <f t="shared" si="20"/>
        <v>0</v>
      </c>
      <c r="G21" s="18">
        <v>0</v>
      </c>
      <c r="H21" s="54" t="s">
        <v>2516</v>
      </c>
      <c r="I21" s="444">
        <f>세출총괄표4!B21</f>
        <v>37200000</v>
      </c>
      <c r="J21" s="17">
        <f t="shared" si="8"/>
        <v>4.2670953950470032E-3</v>
      </c>
      <c r="K21" s="444">
        <f>세출총괄표4!D21</f>
        <v>25200000</v>
      </c>
      <c r="L21" s="14">
        <f t="shared" si="9"/>
        <v>4.3259715711568246E-3</v>
      </c>
      <c r="M21" s="444">
        <f t="shared" si="10"/>
        <v>12000000</v>
      </c>
      <c r="N21" s="483">
        <f t="shared" si="11"/>
        <v>0.47619047619047616</v>
      </c>
      <c r="O21" s="62"/>
      <c r="P21" s="62" t="s">
        <v>2593</v>
      </c>
      <c r="Q21" s="61"/>
      <c r="R21" s="4">
        <v>2018</v>
      </c>
      <c r="S21" s="4" t="s">
        <v>2589</v>
      </c>
      <c r="T21" s="4">
        <v>2017</v>
      </c>
      <c r="U21" s="4" t="s">
        <v>2589</v>
      </c>
      <c r="V21" s="4" t="s">
        <v>2592</v>
      </c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</row>
    <row r="22" spans="1:167" s="5" customFormat="1" ht="21.95" customHeight="1">
      <c r="A22" s="482" t="s">
        <v>80</v>
      </c>
      <c r="B22" s="446">
        <f>세입예산총괄표2!B22</f>
        <v>822500000</v>
      </c>
      <c r="C22" s="17">
        <f t="shared" si="4"/>
        <v>9.4346396839412913E-2</v>
      </c>
      <c r="D22" s="446">
        <f>세입예산총괄표2!D22</f>
        <v>783300000</v>
      </c>
      <c r="E22" s="17">
        <f t="shared" si="5"/>
        <v>0.1344656163367913</v>
      </c>
      <c r="F22" s="446">
        <f t="shared" si="20"/>
        <v>39200000</v>
      </c>
      <c r="G22" s="18">
        <f t="shared" ref="G22:G26" si="21">F22/D22</f>
        <v>5.0044682752457555E-2</v>
      </c>
      <c r="H22" s="19" t="s">
        <v>149</v>
      </c>
      <c r="I22" s="445">
        <f>SUM(I23:I34)</f>
        <v>1303908000</v>
      </c>
      <c r="J22" s="20">
        <f>I22/$I$7</f>
        <v>0.14956719952593947</v>
      </c>
      <c r="K22" s="445">
        <f>SUM(K23:K34)</f>
        <v>912749000</v>
      </c>
      <c r="L22" s="20">
        <f>K22/$K$7</f>
        <v>0.15668754863499287</v>
      </c>
      <c r="M22" s="445">
        <f>I22-K22</f>
        <v>391159000</v>
      </c>
      <c r="N22" s="485">
        <f>M22/K22</f>
        <v>0.42855045582082257</v>
      </c>
      <c r="O22" s="62"/>
      <c r="P22" s="62"/>
      <c r="Q22" s="1792" t="s">
        <v>2590</v>
      </c>
      <c r="R22" s="1795">
        <f>SUM(R23:R28)</f>
        <v>85429000</v>
      </c>
      <c r="S22" s="1799"/>
      <c r="T22" s="1795">
        <f>SUM(T23:T28)</f>
        <v>73750000</v>
      </c>
      <c r="U22" s="1799"/>
      <c r="V22" s="1797">
        <f>R22-T22</f>
        <v>11679000</v>
      </c>
      <c r="W22" s="1798">
        <f>V22/T22</f>
        <v>0.1583593220338983</v>
      </c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</row>
    <row r="23" spans="1:167" s="5" customFormat="1" ht="21.95" customHeight="1">
      <c r="A23" s="482" t="s">
        <v>1627</v>
      </c>
      <c r="B23" s="446">
        <f>세입예산총괄표2!B23</f>
        <v>323393000</v>
      </c>
      <c r="C23" s="17">
        <f t="shared" si="4"/>
        <v>3.7095397341140743E-2</v>
      </c>
      <c r="D23" s="446">
        <f>세입예산총괄표2!D23</f>
        <v>231000000</v>
      </c>
      <c r="E23" s="17">
        <f t="shared" si="5"/>
        <v>3.9654739402270892E-2</v>
      </c>
      <c r="F23" s="446">
        <f t="shared" si="20"/>
        <v>92393000</v>
      </c>
      <c r="G23" s="18">
        <f t="shared" si="21"/>
        <v>0.39996969696969698</v>
      </c>
      <c r="H23" s="13" t="s">
        <v>1623</v>
      </c>
      <c r="I23" s="443">
        <f>세출총괄표4!B23</f>
        <v>247458000</v>
      </c>
      <c r="J23" s="14">
        <f>I23/$I$7</f>
        <v>2.8385131512568315E-2</v>
      </c>
      <c r="K23" s="443">
        <f>세출총괄표4!D23</f>
        <v>251533000</v>
      </c>
      <c r="L23" s="14">
        <f>K23/$K$7</f>
        <v>4.3179547905071017E-2</v>
      </c>
      <c r="M23" s="444">
        <f>I23-K23</f>
        <v>-4075000</v>
      </c>
      <c r="N23" s="481">
        <f>M23/K23</f>
        <v>-1.6200657567794284E-2</v>
      </c>
      <c r="O23" s="62"/>
      <c r="P23" s="62"/>
      <c r="Q23" s="1791" t="s">
        <v>2578</v>
      </c>
      <c r="R23" s="1800">
        <v>0</v>
      </c>
      <c r="S23" s="1800"/>
      <c r="T23" s="1800"/>
      <c r="U23" s="1800"/>
      <c r="V23" s="1801">
        <f t="shared" ref="V23:V28" si="22">R23-T23</f>
        <v>0</v>
      </c>
      <c r="W23" s="1802">
        <v>0</v>
      </c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</row>
    <row r="24" spans="1:167" s="5" customFormat="1" ht="21.95" customHeight="1">
      <c r="A24" s="482" t="s">
        <v>1628</v>
      </c>
      <c r="B24" s="446">
        <f>세입예산총괄표2!B24</f>
        <v>118473000</v>
      </c>
      <c r="C24" s="17">
        <f t="shared" si="4"/>
        <v>1.3589666471435582E-2</v>
      </c>
      <c r="D24" s="446">
        <f>세입예산총괄표2!D24</f>
        <v>80325000</v>
      </c>
      <c r="E24" s="17">
        <f t="shared" si="5"/>
        <v>1.3789034383062379E-2</v>
      </c>
      <c r="F24" s="446">
        <f t="shared" si="20"/>
        <v>38148000</v>
      </c>
      <c r="G24" s="18">
        <f t="shared" si="21"/>
        <v>0.47492063492063491</v>
      </c>
      <c r="H24" s="16" t="s">
        <v>30</v>
      </c>
      <c r="I24" s="444">
        <f>세출총괄표4!B24</f>
        <v>274384000</v>
      </c>
      <c r="J24" s="17">
        <f>I24/$I$7</f>
        <v>3.147372857189723E-2</v>
      </c>
      <c r="K24" s="444">
        <f>세출총괄표4!D24</f>
        <v>291029000</v>
      </c>
      <c r="L24" s="17">
        <f>K24/$K$7</f>
        <v>4.9959650015166647E-2</v>
      </c>
      <c r="M24" s="444">
        <f>I24-K24</f>
        <v>-16645000</v>
      </c>
      <c r="N24" s="483">
        <f>M24/K24</f>
        <v>-5.7193613007638415E-2</v>
      </c>
      <c r="O24" s="62"/>
      <c r="P24" s="62"/>
      <c r="Q24" s="1791" t="s">
        <v>2579</v>
      </c>
      <c r="R24" s="1800">
        <v>0</v>
      </c>
      <c r="S24" s="1800"/>
      <c r="T24" s="1800"/>
      <c r="U24" s="1800"/>
      <c r="V24" s="1801">
        <f t="shared" si="22"/>
        <v>0</v>
      </c>
      <c r="W24" s="1802">
        <v>0</v>
      </c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</row>
    <row r="25" spans="1:167" s="5" customFormat="1" ht="21.95" customHeight="1">
      <c r="A25" s="482" t="s">
        <v>2515</v>
      </c>
      <c r="B25" s="446">
        <f>세입예산총괄표2!B25</f>
        <v>69415000</v>
      </c>
      <c r="C25" s="17">
        <f t="shared" si="4"/>
        <v>7.962377065784617E-3</v>
      </c>
      <c r="D25" s="446">
        <f>세입예산총괄표2!D25</f>
        <v>57750000</v>
      </c>
      <c r="E25" s="17">
        <f t="shared" si="5"/>
        <v>9.9136848505677229E-3</v>
      </c>
      <c r="F25" s="446">
        <f t="shared" si="20"/>
        <v>11665000</v>
      </c>
      <c r="G25" s="18">
        <f t="shared" si="21"/>
        <v>0.201991341991342</v>
      </c>
      <c r="H25" s="13" t="s">
        <v>1629</v>
      </c>
      <c r="I25" s="444">
        <f>세출총괄표4!B25</f>
        <v>45429000</v>
      </c>
      <c r="J25" s="17">
        <f t="shared" ref="J25:J34" si="23">I25/$I$7</f>
        <v>5.2110181909029657E-3</v>
      </c>
      <c r="K25" s="444">
        <f>세출총괄표4!D25</f>
        <v>44074000</v>
      </c>
      <c r="L25" s="17">
        <f t="shared" ref="L25:L34" si="24">K25/$K$7</f>
        <v>7.5659869455224566E-3</v>
      </c>
      <c r="M25" s="444">
        <f t="shared" ref="M25:M34" si="25">I25-K25</f>
        <v>1355000</v>
      </c>
      <c r="N25" s="483">
        <f t="shared" ref="N25:N34" si="26">M25/K25</f>
        <v>3.0743749149158235E-2</v>
      </c>
      <c r="O25" s="62"/>
      <c r="P25" s="62"/>
      <c r="Q25" s="1791" t="s">
        <v>2580</v>
      </c>
      <c r="R25" s="1801">
        <f>B80</f>
        <v>16000000</v>
      </c>
      <c r="S25" s="1802">
        <f>R25/$R$22</f>
        <v>0.18729003031757366</v>
      </c>
      <c r="T25" s="1801">
        <f t="shared" ref="T25" si="27">D80</f>
        <v>16000000</v>
      </c>
      <c r="U25" s="1802">
        <f>T25/$T$22</f>
        <v>0.21694915254237288</v>
      </c>
      <c r="V25" s="1801">
        <f t="shared" si="22"/>
        <v>0</v>
      </c>
      <c r="W25" s="1802">
        <f t="shared" ref="W25:W27" si="28">V25/T25</f>
        <v>0</v>
      </c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</row>
    <row r="26" spans="1:167" s="5" customFormat="1" ht="21.95" customHeight="1">
      <c r="A26" s="482" t="s">
        <v>2516</v>
      </c>
      <c r="B26" s="446">
        <f>세입예산총괄표2!B26</f>
        <v>67370000</v>
      </c>
      <c r="C26" s="17">
        <f t="shared" si="4"/>
        <v>7.7278015259224899E-3</v>
      </c>
      <c r="D26" s="446">
        <f>세입예산총괄표2!D26</f>
        <v>52500000</v>
      </c>
      <c r="E26" s="17">
        <f t="shared" si="5"/>
        <v>9.012440773243386E-3</v>
      </c>
      <c r="F26" s="446">
        <f t="shared" si="20"/>
        <v>14870000</v>
      </c>
      <c r="G26" s="18">
        <f t="shared" si="21"/>
        <v>0.28323809523809523</v>
      </c>
      <c r="H26" s="16" t="s">
        <v>1624</v>
      </c>
      <c r="I26" s="444">
        <f>세출총괄표4!B26</f>
        <v>86703000</v>
      </c>
      <c r="J26" s="17">
        <f t="shared" si="23"/>
        <v>9.9454293558268909E-3</v>
      </c>
      <c r="K26" s="444">
        <f>세출총괄표4!D26</f>
        <v>44427000</v>
      </c>
      <c r="L26" s="17">
        <f t="shared" si="24"/>
        <v>7.6265848806263596E-3</v>
      </c>
      <c r="M26" s="444">
        <f t="shared" si="25"/>
        <v>42276000</v>
      </c>
      <c r="N26" s="483">
        <f t="shared" si="26"/>
        <v>0.95158349652238505</v>
      </c>
      <c r="O26" s="62"/>
      <c r="P26" s="62"/>
      <c r="Q26" s="1791" t="s">
        <v>2581</v>
      </c>
      <c r="R26" s="1801">
        <f>B38</f>
        <v>14000</v>
      </c>
      <c r="S26" s="1802">
        <f>R26/$R$22</f>
        <v>1.6387877652787694E-4</v>
      </c>
      <c r="T26" s="1801">
        <f t="shared" ref="T26" si="29">D38</f>
        <v>0</v>
      </c>
      <c r="U26" s="1802">
        <f t="shared" ref="U26:U34" si="30">T26/$T$22</f>
        <v>0</v>
      </c>
      <c r="V26" s="1801">
        <f t="shared" si="22"/>
        <v>14000</v>
      </c>
      <c r="W26" s="1802">
        <v>1</v>
      </c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</row>
    <row r="27" spans="1:167" s="5" customFormat="1" ht="21.95" customHeight="1">
      <c r="A27" s="486" t="s">
        <v>2172</v>
      </c>
      <c r="B27" s="445">
        <f>SUM(B28:B39)</f>
        <v>2160000</v>
      </c>
      <c r="C27" s="20">
        <f>B27/$B$7</f>
        <v>2.4776682938982598E-4</v>
      </c>
      <c r="D27" s="445">
        <f>SUM(D28:D39)</f>
        <v>5003000</v>
      </c>
      <c r="E27" s="21">
        <f>D27/$D$7</f>
        <v>8.5884268930546011E-4</v>
      </c>
      <c r="F27" s="445">
        <f>B27-D27</f>
        <v>-2843000</v>
      </c>
      <c r="G27" s="22">
        <f>F27/D27</f>
        <v>-0.56825904457325604</v>
      </c>
      <c r="H27" s="16" t="s">
        <v>1625</v>
      </c>
      <c r="I27" s="444">
        <f>세출총괄표4!B27</f>
        <v>34827000</v>
      </c>
      <c r="J27" s="17">
        <f t="shared" si="23"/>
        <v>3.9948960033145695E-3</v>
      </c>
      <c r="K27" s="444">
        <f>세출총괄표4!D27</f>
        <v>26203000</v>
      </c>
      <c r="L27" s="17">
        <f t="shared" si="24"/>
        <v>4.4981521063104084E-3</v>
      </c>
      <c r="M27" s="444">
        <f t="shared" si="25"/>
        <v>8624000</v>
      </c>
      <c r="N27" s="483">
        <f t="shared" si="26"/>
        <v>0.32912261954738009</v>
      </c>
      <c r="O27" s="62"/>
      <c r="P27" s="62"/>
      <c r="Q27" s="1791" t="s">
        <v>2582</v>
      </c>
      <c r="R27" s="1801">
        <f>B25</f>
        <v>69415000</v>
      </c>
      <c r="S27" s="1802">
        <f>R27/$R$22</f>
        <v>0.81254609090589847</v>
      </c>
      <c r="T27" s="1801">
        <f t="shared" ref="T27" si="31">D25</f>
        <v>57750000</v>
      </c>
      <c r="U27" s="1802">
        <f t="shared" si="30"/>
        <v>0.7830508474576271</v>
      </c>
      <c r="V27" s="1801">
        <f t="shared" si="22"/>
        <v>11665000</v>
      </c>
      <c r="W27" s="1802">
        <f t="shared" si="28"/>
        <v>0.201991341991342</v>
      </c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</row>
    <row r="28" spans="1:167" s="5" customFormat="1" ht="21.95" customHeight="1">
      <c r="A28" s="480" t="s">
        <v>1623</v>
      </c>
      <c r="B28" s="443">
        <f>세입예산총괄표2!B28</f>
        <v>720000</v>
      </c>
      <c r="C28" s="14">
        <f t="shared" si="4"/>
        <v>8.2588943129941999E-5</v>
      </c>
      <c r="D28" s="443">
        <f>세입예산총괄표2!D28</f>
        <v>200000</v>
      </c>
      <c r="E28" s="14">
        <f t="shared" si="5"/>
        <v>3.4333107707593846E-5</v>
      </c>
      <c r="F28" s="444">
        <f>B28-D28</f>
        <v>520000</v>
      </c>
      <c r="G28" s="15">
        <f>F28/D28</f>
        <v>2.6</v>
      </c>
      <c r="H28" s="16" t="s">
        <v>2141</v>
      </c>
      <c r="I28" s="444">
        <f>세출총괄표4!B28</f>
        <v>14296000</v>
      </c>
      <c r="J28" s="17">
        <f t="shared" si="23"/>
        <v>1.6398493485911818E-3</v>
      </c>
      <c r="K28" s="444">
        <f>세출총괄표4!D28</f>
        <v>13457000</v>
      </c>
      <c r="L28" s="17">
        <f t="shared" si="24"/>
        <v>2.3101031521054519E-3</v>
      </c>
      <c r="M28" s="444">
        <f t="shared" si="25"/>
        <v>839000</v>
      </c>
      <c r="N28" s="483">
        <f t="shared" si="26"/>
        <v>6.234673404176265E-2</v>
      </c>
      <c r="O28" s="62"/>
      <c r="P28" s="62"/>
      <c r="Q28" s="1791" t="s">
        <v>2583</v>
      </c>
      <c r="R28" s="1800">
        <v>0</v>
      </c>
      <c r="S28" s="1802">
        <f t="shared" ref="S28:S34" si="32">R28/$R$22</f>
        <v>0</v>
      </c>
      <c r="T28" s="1800">
        <v>0</v>
      </c>
      <c r="U28" s="1802">
        <f t="shared" si="30"/>
        <v>0</v>
      </c>
      <c r="V28" s="1801">
        <f t="shared" si="22"/>
        <v>0</v>
      </c>
      <c r="W28" s="1802">
        <v>0</v>
      </c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</row>
    <row r="29" spans="1:167" s="5" customFormat="1" ht="21.95" customHeight="1">
      <c r="A29" s="482" t="s">
        <v>30</v>
      </c>
      <c r="B29" s="444">
        <f>세입예산총괄표2!B29</f>
        <v>200000</v>
      </c>
      <c r="C29" s="17">
        <f t="shared" si="4"/>
        <v>2.2941373091650557E-5</v>
      </c>
      <c r="D29" s="444">
        <f>세입예산총괄표2!D29</f>
        <v>200000</v>
      </c>
      <c r="E29" s="17">
        <f t="shared" si="5"/>
        <v>3.4333107707593846E-5</v>
      </c>
      <c r="F29" s="444">
        <f>B29-D29</f>
        <v>0</v>
      </c>
      <c r="G29" s="18">
        <f>F29/D29</f>
        <v>0</v>
      </c>
      <c r="H29" s="16" t="s">
        <v>2127</v>
      </c>
      <c r="I29" s="444">
        <f>세출총괄표4!B29</f>
        <v>237151000</v>
      </c>
      <c r="J29" s="17">
        <f t="shared" si="23"/>
        <v>2.7202847850290104E-2</v>
      </c>
      <c r="K29" s="444">
        <f>세출총괄표4!D29</f>
        <v>0</v>
      </c>
      <c r="L29" s="17">
        <f t="shared" si="24"/>
        <v>0</v>
      </c>
      <c r="M29" s="444">
        <f t="shared" si="25"/>
        <v>237151000</v>
      </c>
      <c r="N29" s="483">
        <v>1</v>
      </c>
      <c r="O29" s="62"/>
      <c r="P29" s="62"/>
      <c r="Q29" s="62" t="s">
        <v>2591</v>
      </c>
      <c r="R29" s="1803">
        <f>SUM(R30:R34)</f>
        <v>85429000</v>
      </c>
      <c r="S29" s="1804"/>
      <c r="T29" s="1803">
        <f>SUM(T30:T34)</f>
        <v>73750000</v>
      </c>
      <c r="U29" s="1804">
        <f t="shared" si="30"/>
        <v>1</v>
      </c>
      <c r="V29" s="1803">
        <f>R29-T29</f>
        <v>11679000</v>
      </c>
      <c r="W29" s="1804">
        <f t="shared" ref="W29" si="33">V29/T29</f>
        <v>0.1583593220338983</v>
      </c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</row>
    <row r="30" spans="1:167" s="5" customFormat="1" ht="21.95" customHeight="1">
      <c r="A30" s="1759" t="s">
        <v>1629</v>
      </c>
      <c r="B30" s="456">
        <f>세입예산총괄표2!B30</f>
        <v>240000</v>
      </c>
      <c r="C30" s="24">
        <f t="shared" si="4"/>
        <v>2.7529647709980668E-5</v>
      </c>
      <c r="D30" s="456">
        <f>세입예산총괄표2!D30</f>
        <v>0</v>
      </c>
      <c r="E30" s="24">
        <f t="shared" si="5"/>
        <v>0</v>
      </c>
      <c r="F30" s="456">
        <f t="shared" ref="F30:F39" si="34">B30-D30</f>
        <v>240000</v>
      </c>
      <c r="G30" s="1769">
        <v>1</v>
      </c>
      <c r="H30" s="23" t="s">
        <v>1626</v>
      </c>
      <c r="I30" s="456">
        <f>세출총괄표4!B30</f>
        <v>247567000</v>
      </c>
      <c r="J30" s="24">
        <f t="shared" si="23"/>
        <v>2.8397634560903266E-2</v>
      </c>
      <c r="K30" s="456">
        <f>세출총괄표4!D30</f>
        <v>153500000</v>
      </c>
      <c r="L30" s="24">
        <f t="shared" si="24"/>
        <v>2.6350660165578278E-2</v>
      </c>
      <c r="M30" s="456">
        <f t="shared" si="25"/>
        <v>94067000</v>
      </c>
      <c r="N30" s="534">
        <f t="shared" si="26"/>
        <v>0.61281433224755699</v>
      </c>
      <c r="O30" s="62"/>
      <c r="P30" s="62"/>
      <c r="Q30" s="1791" t="s">
        <v>2584</v>
      </c>
      <c r="R30" s="1801">
        <f>I20</f>
        <v>44880000</v>
      </c>
      <c r="S30" s="1802">
        <f t="shared" si="32"/>
        <v>0.52534853504079415</v>
      </c>
      <c r="T30" s="1801">
        <f t="shared" ref="T30" si="35">K20</f>
        <v>38380000</v>
      </c>
      <c r="U30" s="1802">
        <f t="shared" si="30"/>
        <v>0.52040677966101689</v>
      </c>
      <c r="V30" s="1801">
        <f t="shared" ref="V30:V34" si="36">R30-T30</f>
        <v>6500000</v>
      </c>
      <c r="W30" s="1802">
        <f t="shared" ref="W30:W31" si="37">V30/T30</f>
        <v>0.16935904116727463</v>
      </c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</row>
    <row r="31" spans="1:167" s="5" customFormat="1" ht="21.95" customHeight="1">
      <c r="A31" s="480" t="s">
        <v>1624</v>
      </c>
      <c r="B31" s="443">
        <f>세입예산총괄표2!B31</f>
        <v>100000</v>
      </c>
      <c r="C31" s="14">
        <f t="shared" si="4"/>
        <v>1.1470686545825279E-5</v>
      </c>
      <c r="D31" s="443">
        <f>세입예산총괄표2!D31</f>
        <v>100000</v>
      </c>
      <c r="E31" s="14">
        <f t="shared" si="5"/>
        <v>1.7166553853796923E-5</v>
      </c>
      <c r="F31" s="443">
        <f t="shared" si="34"/>
        <v>0</v>
      </c>
      <c r="G31" s="15">
        <f t="shared" ref="G31:G35" si="38">F31/D31</f>
        <v>0</v>
      </c>
      <c r="H31" s="13" t="s">
        <v>1627</v>
      </c>
      <c r="I31" s="443">
        <f>세출총괄표4!B31</f>
        <v>48841000</v>
      </c>
      <c r="J31" s="14">
        <f t="shared" si="23"/>
        <v>5.6023980158465244E-3</v>
      </c>
      <c r="K31" s="443">
        <f>세출총괄표4!D31</f>
        <v>37166000</v>
      </c>
      <c r="L31" s="14">
        <f t="shared" si="24"/>
        <v>6.380121405302165E-3</v>
      </c>
      <c r="M31" s="443">
        <f t="shared" si="25"/>
        <v>11675000</v>
      </c>
      <c r="N31" s="481">
        <f t="shared" si="26"/>
        <v>0.31413119517838883</v>
      </c>
      <c r="O31" s="62"/>
      <c r="P31" s="62"/>
      <c r="Q31" s="1791" t="s">
        <v>2585</v>
      </c>
      <c r="R31" s="1801">
        <f>I33</f>
        <v>24535000</v>
      </c>
      <c r="S31" s="1802">
        <f t="shared" si="32"/>
        <v>0.28719755586510437</v>
      </c>
      <c r="T31" s="1801">
        <f t="shared" ref="T31" si="39">K33</f>
        <v>19370000</v>
      </c>
      <c r="U31" s="1802">
        <f t="shared" si="30"/>
        <v>0.26264406779661015</v>
      </c>
      <c r="V31" s="1801">
        <f t="shared" si="36"/>
        <v>5165000</v>
      </c>
      <c r="W31" s="1802">
        <f t="shared" si="37"/>
        <v>0.26664945792462569</v>
      </c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</row>
    <row r="32" spans="1:167" s="5" customFormat="1" ht="21.95" customHeight="1">
      <c r="A32" s="482" t="s">
        <v>1625</v>
      </c>
      <c r="B32" s="444">
        <f>세입예산총괄표2!B32</f>
        <v>100000</v>
      </c>
      <c r="C32" s="17">
        <f t="shared" si="4"/>
        <v>1.1470686545825279E-5</v>
      </c>
      <c r="D32" s="444">
        <f>세입예산총괄표2!D32</f>
        <v>100000</v>
      </c>
      <c r="E32" s="17">
        <f t="shared" si="5"/>
        <v>1.7166553853796923E-5</v>
      </c>
      <c r="F32" s="444">
        <f t="shared" si="34"/>
        <v>0</v>
      </c>
      <c r="G32" s="18">
        <f t="shared" si="38"/>
        <v>0</v>
      </c>
      <c r="H32" s="54" t="s">
        <v>1628</v>
      </c>
      <c r="I32" s="444">
        <f>세출총괄표4!B32</f>
        <v>23047000</v>
      </c>
      <c r="J32" s="17">
        <f t="shared" si="23"/>
        <v>2.6436491282163517E-3</v>
      </c>
      <c r="K32" s="444">
        <f>세출총괄표4!D32</f>
        <v>14840000</v>
      </c>
      <c r="L32" s="17">
        <f t="shared" si="24"/>
        <v>2.5475165919034634E-3</v>
      </c>
      <c r="M32" s="444">
        <f t="shared" si="25"/>
        <v>8207000</v>
      </c>
      <c r="N32" s="483">
        <f t="shared" si="26"/>
        <v>0.55303234501347709</v>
      </c>
      <c r="O32" s="62"/>
      <c r="P32" s="62"/>
      <c r="Q32" s="1791" t="s">
        <v>2586</v>
      </c>
      <c r="R32" s="1800">
        <v>0</v>
      </c>
      <c r="S32" s="1802">
        <f t="shared" si="32"/>
        <v>0</v>
      </c>
      <c r="T32" s="1800"/>
      <c r="U32" s="1802">
        <f t="shared" si="30"/>
        <v>0</v>
      </c>
      <c r="V32" s="1801">
        <f t="shared" si="36"/>
        <v>0</v>
      </c>
      <c r="W32" s="1802">
        <v>0</v>
      </c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</row>
    <row r="33" spans="1:167" s="5" customFormat="1" ht="21.95" customHeight="1">
      <c r="A33" s="482" t="s">
        <v>2141</v>
      </c>
      <c r="B33" s="444">
        <f>세입예산총괄표2!B33</f>
        <v>10000</v>
      </c>
      <c r="C33" s="17">
        <f t="shared" si="4"/>
        <v>1.1470686545825279E-6</v>
      </c>
      <c r="D33" s="444">
        <f>세입예산총괄표2!D33</f>
        <v>10000</v>
      </c>
      <c r="E33" s="17">
        <f t="shared" si="5"/>
        <v>1.7166553853796923E-6</v>
      </c>
      <c r="F33" s="444">
        <f t="shared" si="34"/>
        <v>0</v>
      </c>
      <c r="G33" s="18">
        <f t="shared" si="38"/>
        <v>0</v>
      </c>
      <c r="H33" s="16" t="s">
        <v>2515</v>
      </c>
      <c r="I33" s="444">
        <f>세출총괄표4!B33</f>
        <v>24535000</v>
      </c>
      <c r="J33" s="17">
        <f t="shared" si="23"/>
        <v>2.8143329440182318E-3</v>
      </c>
      <c r="K33" s="444">
        <f>세출총괄표4!D33</f>
        <v>19370000</v>
      </c>
      <c r="L33" s="17">
        <f t="shared" si="24"/>
        <v>3.3251614814804641E-3</v>
      </c>
      <c r="M33" s="444">
        <f t="shared" si="25"/>
        <v>5165000</v>
      </c>
      <c r="N33" s="483">
        <f t="shared" si="26"/>
        <v>0.26664945792462569</v>
      </c>
      <c r="O33" s="62"/>
      <c r="P33" s="62"/>
      <c r="Q33" s="1791" t="s">
        <v>2587</v>
      </c>
      <c r="R33" s="1801">
        <f>I65+I75</f>
        <v>16000000</v>
      </c>
      <c r="S33" s="1802">
        <f t="shared" si="32"/>
        <v>0.18729003031757366</v>
      </c>
      <c r="T33" s="1801">
        <f t="shared" ref="T33" si="40">K65+K75</f>
        <v>16000000</v>
      </c>
      <c r="U33" s="1802">
        <f t="shared" si="30"/>
        <v>0.21694915254237288</v>
      </c>
      <c r="V33" s="1801">
        <f t="shared" si="36"/>
        <v>0</v>
      </c>
      <c r="W33" s="1802">
        <v>0</v>
      </c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</row>
    <row r="34" spans="1:167" s="5" customFormat="1" ht="21.95" customHeight="1">
      <c r="A34" s="482" t="s">
        <v>2127</v>
      </c>
      <c r="B34" s="444">
        <f>세입예산총괄표2!B34</f>
        <v>233000</v>
      </c>
      <c r="C34" s="17">
        <f t="shared" si="4"/>
        <v>2.6726699651772896E-5</v>
      </c>
      <c r="D34" s="444">
        <f>세입예산총괄표2!D34</f>
        <v>0</v>
      </c>
      <c r="E34" s="17">
        <f t="shared" si="5"/>
        <v>0</v>
      </c>
      <c r="F34" s="444">
        <f t="shared" si="34"/>
        <v>233000</v>
      </c>
      <c r="G34" s="18">
        <v>1</v>
      </c>
      <c r="H34" s="56" t="s">
        <v>2516</v>
      </c>
      <c r="I34" s="444">
        <f>세출총괄표4!B34</f>
        <v>19670000</v>
      </c>
      <c r="J34" s="17">
        <f t="shared" si="23"/>
        <v>2.2562840435638321E-3</v>
      </c>
      <c r="K34" s="444">
        <f>세출총괄표4!D34</f>
        <v>17150000</v>
      </c>
      <c r="L34" s="17">
        <f t="shared" si="24"/>
        <v>2.9440639859261725E-3</v>
      </c>
      <c r="M34" s="444">
        <f t="shared" si="25"/>
        <v>2520000</v>
      </c>
      <c r="N34" s="483">
        <f t="shared" si="26"/>
        <v>0.14693877551020409</v>
      </c>
      <c r="O34" s="62"/>
      <c r="P34" s="62"/>
      <c r="Q34" s="1791" t="s">
        <v>2588</v>
      </c>
      <c r="R34" s="1801">
        <f>I94</f>
        <v>14000</v>
      </c>
      <c r="S34" s="1802">
        <f t="shared" si="32"/>
        <v>1.6387877652787694E-4</v>
      </c>
      <c r="T34" s="1801"/>
      <c r="U34" s="1802">
        <f t="shared" si="30"/>
        <v>0</v>
      </c>
      <c r="V34" s="1801">
        <f t="shared" si="36"/>
        <v>14000</v>
      </c>
      <c r="W34" s="1802">
        <v>1</v>
      </c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</row>
    <row r="35" spans="1:167" s="5" customFormat="1" ht="21.95" customHeight="1">
      <c r="A35" s="482" t="s">
        <v>1626</v>
      </c>
      <c r="B35" s="444">
        <f>세입예산총괄표2!B35</f>
        <v>500000</v>
      </c>
      <c r="C35" s="17">
        <f t="shared" si="4"/>
        <v>5.7353432729126388E-5</v>
      </c>
      <c r="D35" s="444">
        <f>세입예산총괄표2!D35</f>
        <v>4393000</v>
      </c>
      <c r="E35" s="17">
        <f t="shared" si="5"/>
        <v>7.5412671079729888E-4</v>
      </c>
      <c r="F35" s="444">
        <f t="shared" si="34"/>
        <v>-3893000</v>
      </c>
      <c r="G35" s="18">
        <f t="shared" si="38"/>
        <v>-0.8861825631686775</v>
      </c>
      <c r="H35" s="19" t="s">
        <v>2552</v>
      </c>
      <c r="I35" s="445">
        <f>SUM(I36:I46)</f>
        <v>1455137000</v>
      </c>
      <c r="J35" s="20">
        <f>I35/$I$7</f>
        <v>0.16691420408232557</v>
      </c>
      <c r="K35" s="445">
        <f>SUM(K36:K46)</f>
        <v>1161504000</v>
      </c>
      <c r="L35" s="20">
        <f>K35/$K$7</f>
        <v>0.19939020967400542</v>
      </c>
      <c r="M35" s="445">
        <f>I35-K35</f>
        <v>293633000</v>
      </c>
      <c r="N35" s="485">
        <f>M35/K35</f>
        <v>0.25280412293026971</v>
      </c>
      <c r="O35" s="62"/>
      <c r="P35" s="62"/>
      <c r="Q35" s="62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</row>
    <row r="36" spans="1:167" s="5" customFormat="1" ht="21.95" customHeight="1">
      <c r="A36" s="482" t="s">
        <v>1627</v>
      </c>
      <c r="B36" s="444">
        <f>세입예산총괄표2!B36</f>
        <v>24000</v>
      </c>
      <c r="C36" s="17">
        <f t="shared" si="4"/>
        <v>2.7529647709980666E-6</v>
      </c>
      <c r="D36" s="444">
        <f>세입예산총괄표2!D36</f>
        <v>0</v>
      </c>
      <c r="E36" s="17">
        <f t="shared" si="5"/>
        <v>0</v>
      </c>
      <c r="F36" s="444">
        <f t="shared" si="34"/>
        <v>24000</v>
      </c>
      <c r="G36" s="18">
        <v>1</v>
      </c>
      <c r="H36" s="13" t="s">
        <v>1623</v>
      </c>
      <c r="I36" s="443">
        <f>세출총괄표4!B36</f>
        <v>990980000</v>
      </c>
      <c r="J36" s="14">
        <f>I36/$I$7</f>
        <v>0.11367220953181933</v>
      </c>
      <c r="K36" s="443">
        <f>세출총괄표4!D36</f>
        <v>953000000</v>
      </c>
      <c r="L36" s="14">
        <f>K36/$K$7</f>
        <v>0.16359725822668469</v>
      </c>
      <c r="M36" s="444">
        <f>I36-K36</f>
        <v>37980000</v>
      </c>
      <c r="N36" s="481">
        <f>M36/K36</f>
        <v>3.9853095487932845E-2</v>
      </c>
      <c r="O36" s="62"/>
      <c r="P36" s="62"/>
      <c r="Q36" s="61"/>
      <c r="R36" s="4">
        <v>2018</v>
      </c>
      <c r="S36" s="4" t="s">
        <v>2589</v>
      </c>
      <c r="T36" s="4">
        <v>2017</v>
      </c>
      <c r="U36" s="4" t="s">
        <v>2589</v>
      </c>
      <c r="V36" s="4" t="s">
        <v>2592</v>
      </c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</row>
    <row r="37" spans="1:167" s="5" customFormat="1" ht="21.95" customHeight="1">
      <c r="A37" s="482" t="s">
        <v>1628</v>
      </c>
      <c r="B37" s="444">
        <f>세입예산총괄표2!B37</f>
        <v>13000</v>
      </c>
      <c r="C37" s="17">
        <f t="shared" si="4"/>
        <v>1.4911892509572861E-6</v>
      </c>
      <c r="D37" s="444">
        <f>세입예산총괄표2!D37</f>
        <v>0</v>
      </c>
      <c r="E37" s="17">
        <f t="shared" si="5"/>
        <v>0</v>
      </c>
      <c r="F37" s="444">
        <f t="shared" si="34"/>
        <v>13000</v>
      </c>
      <c r="G37" s="18">
        <v>1</v>
      </c>
      <c r="H37" s="16" t="s">
        <v>30</v>
      </c>
      <c r="I37" s="444">
        <f>세출총괄표4!B37</f>
        <v>65000000</v>
      </c>
      <c r="J37" s="17">
        <f>I37/$I$7</f>
        <v>7.4559462547864304E-3</v>
      </c>
      <c r="K37" s="444">
        <f>세출총괄표4!D37</f>
        <v>65000000</v>
      </c>
      <c r="L37" s="14">
        <f>K37/$K$7</f>
        <v>1.1158260004968001E-2</v>
      </c>
      <c r="M37" s="444">
        <f>I37-K37</f>
        <v>0</v>
      </c>
      <c r="N37" s="483">
        <f>M37/K37</f>
        <v>0</v>
      </c>
      <c r="O37" s="62"/>
      <c r="P37" s="62" t="s">
        <v>2594</v>
      </c>
      <c r="Q37" s="1792" t="s">
        <v>2590</v>
      </c>
      <c r="R37" s="1805">
        <f>SUM(R38:R44)</f>
        <v>155514000</v>
      </c>
      <c r="S37" s="1808">
        <f>SUM(S38:S44)</f>
        <v>1</v>
      </c>
      <c r="T37" s="1805">
        <f>SUM(T38:T44)</f>
        <v>114345000</v>
      </c>
      <c r="U37" s="1808">
        <f>SUM(U38:U44)</f>
        <v>1</v>
      </c>
      <c r="V37" s="1803">
        <f>R37-T37</f>
        <v>41169000</v>
      </c>
      <c r="W37" s="1804">
        <f>V37/T37</f>
        <v>0.36004197822379641</v>
      </c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</row>
    <row r="38" spans="1:167" s="5" customFormat="1" ht="21.95" customHeight="1">
      <c r="A38" s="482" t="s">
        <v>2515</v>
      </c>
      <c r="B38" s="444">
        <f>세입예산총괄표2!B38</f>
        <v>14000</v>
      </c>
      <c r="C38" s="17">
        <f t="shared" si="4"/>
        <v>1.605896116415539E-6</v>
      </c>
      <c r="D38" s="444">
        <f>세입예산총괄표2!D38</f>
        <v>0</v>
      </c>
      <c r="E38" s="17">
        <f t="shared" si="5"/>
        <v>0</v>
      </c>
      <c r="F38" s="444">
        <f t="shared" si="34"/>
        <v>14000</v>
      </c>
      <c r="G38" s="18">
        <v>1</v>
      </c>
      <c r="H38" s="16" t="s">
        <v>1629</v>
      </c>
      <c r="I38" s="444">
        <f>세출총괄표4!B38</f>
        <v>102000000</v>
      </c>
      <c r="J38" s="17">
        <f t="shared" ref="J38:J46" si="41">I38/$I$7</f>
        <v>1.1700100276741784E-2</v>
      </c>
      <c r="K38" s="444">
        <f>세출총괄표4!D38</f>
        <v>15000000</v>
      </c>
      <c r="L38" s="14">
        <f t="shared" ref="L38:L46" si="42">K38/$K$7</f>
        <v>2.5749830780695386E-3</v>
      </c>
      <c r="M38" s="444">
        <f t="shared" ref="M38:M46" si="43">I38-K38</f>
        <v>87000000</v>
      </c>
      <c r="N38" s="483">
        <f t="shared" ref="N38:N46" si="44">M38/K38</f>
        <v>5.8</v>
      </c>
      <c r="O38" s="62"/>
      <c r="P38" s="62"/>
      <c r="Q38" s="1791" t="s">
        <v>2578</v>
      </c>
      <c r="R38" s="1801">
        <f>B67</f>
        <v>1620000</v>
      </c>
      <c r="S38" s="1802">
        <f>R38/$R$37</f>
        <v>1.0417068559743817E-2</v>
      </c>
      <c r="T38" s="1801">
        <f t="shared" ref="T38" si="45">D67</f>
        <v>1560000</v>
      </c>
      <c r="U38" s="1802">
        <f>T38/$T$37</f>
        <v>1.3642922733831825E-2</v>
      </c>
      <c r="V38" s="1801">
        <f t="shared" ref="V38:V44" si="46">R38-T38</f>
        <v>60000</v>
      </c>
      <c r="W38" s="1802">
        <f t="shared" ref="W38:W44" si="47">V38/T38</f>
        <v>3.8461538461538464E-2</v>
      </c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</row>
    <row r="39" spans="1:167" s="5" customFormat="1" ht="21.95" customHeight="1">
      <c r="A39" s="487" t="s">
        <v>2516</v>
      </c>
      <c r="B39" s="444">
        <f>세입예산총괄표2!B39</f>
        <v>6000</v>
      </c>
      <c r="C39" s="17">
        <f t="shared" si="4"/>
        <v>6.8824119274951665E-7</v>
      </c>
      <c r="D39" s="444">
        <f>세입예산총괄표2!D39</f>
        <v>0</v>
      </c>
      <c r="E39" s="17">
        <f t="shared" si="5"/>
        <v>0</v>
      </c>
      <c r="F39" s="444">
        <f t="shared" si="34"/>
        <v>6000</v>
      </c>
      <c r="G39" s="18">
        <v>1</v>
      </c>
      <c r="H39" s="16" t="s">
        <v>1624</v>
      </c>
      <c r="I39" s="444">
        <f>세출총괄표4!B39</f>
        <v>52600000</v>
      </c>
      <c r="J39" s="17">
        <f t="shared" si="41"/>
        <v>6.033581123104096E-3</v>
      </c>
      <c r="K39" s="444">
        <f>세출총괄표4!D39</f>
        <v>41400000</v>
      </c>
      <c r="L39" s="14">
        <f t="shared" si="42"/>
        <v>7.1069532954719265E-3</v>
      </c>
      <c r="M39" s="444">
        <f t="shared" si="43"/>
        <v>11200000</v>
      </c>
      <c r="N39" s="483">
        <f t="shared" si="44"/>
        <v>0.27053140096618356</v>
      </c>
      <c r="O39" s="62"/>
      <c r="P39" s="62"/>
      <c r="Q39" s="1791" t="s">
        <v>2579</v>
      </c>
      <c r="R39" s="1801">
        <f>B74</f>
        <v>360000</v>
      </c>
      <c r="S39" s="1802">
        <f t="shared" ref="S39:S50" si="48">R39/$R$37</f>
        <v>2.3149041243875151E-3</v>
      </c>
      <c r="T39" s="1801">
        <f t="shared" ref="T39" si="49">D74</f>
        <v>360000</v>
      </c>
      <c r="U39" s="1802">
        <f t="shared" ref="U39:U50" si="50">T39/$T$37</f>
        <v>3.1483667847304209E-3</v>
      </c>
      <c r="V39" s="1801">
        <f t="shared" si="46"/>
        <v>0</v>
      </c>
      <c r="W39" s="1802">
        <f t="shared" si="47"/>
        <v>0</v>
      </c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</row>
    <row r="40" spans="1:167" s="5" customFormat="1" ht="21.95" customHeight="1">
      <c r="A40" s="486" t="s">
        <v>2173</v>
      </c>
      <c r="B40" s="445">
        <f>B41</f>
        <v>2408000</v>
      </c>
      <c r="C40" s="20">
        <f>B40/$B$7</f>
        <v>2.7621413202347272E-4</v>
      </c>
      <c r="D40" s="445">
        <f>D41</f>
        <v>2100000</v>
      </c>
      <c r="E40" s="21">
        <f>D40/$D$7</f>
        <v>3.6049763092973542E-4</v>
      </c>
      <c r="F40" s="445">
        <f>B40-D40</f>
        <v>308000</v>
      </c>
      <c r="G40" s="22">
        <f>F40/D40</f>
        <v>0.14666666666666667</v>
      </c>
      <c r="H40" s="16" t="s">
        <v>1625</v>
      </c>
      <c r="I40" s="444">
        <f>세출총괄표4!B40</f>
        <v>48200000</v>
      </c>
      <c r="J40" s="17">
        <f t="shared" si="41"/>
        <v>5.5288709150877842E-3</v>
      </c>
      <c r="K40" s="444">
        <f>세출총괄표4!D40</f>
        <v>10545000</v>
      </c>
      <c r="L40" s="14">
        <f t="shared" si="42"/>
        <v>1.8102131038828856E-3</v>
      </c>
      <c r="M40" s="444">
        <f t="shared" si="43"/>
        <v>37655000</v>
      </c>
      <c r="N40" s="483">
        <f t="shared" si="44"/>
        <v>3.5708866761498341</v>
      </c>
      <c r="O40" s="62"/>
      <c r="P40" s="62"/>
      <c r="Q40" s="1791" t="s">
        <v>2580</v>
      </c>
      <c r="R40" s="1801">
        <f>B79</f>
        <v>32640000</v>
      </c>
      <c r="S40" s="1802">
        <f t="shared" si="48"/>
        <v>0.20988464061113468</v>
      </c>
      <c r="T40" s="1801">
        <f t="shared" ref="T40" si="51">D79</f>
        <v>30000000</v>
      </c>
      <c r="U40" s="1802">
        <f t="shared" si="50"/>
        <v>0.26236389872753507</v>
      </c>
      <c r="V40" s="1801">
        <f t="shared" si="46"/>
        <v>2640000</v>
      </c>
      <c r="W40" s="1802">
        <f t="shared" si="47"/>
        <v>8.7999999999999995E-2</v>
      </c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</row>
    <row r="41" spans="1:167" s="5" customFormat="1" ht="21.95" customHeight="1">
      <c r="A41" s="536" t="s">
        <v>2163</v>
      </c>
      <c r="B41" s="452">
        <f>세입예산총괄표2!B41</f>
        <v>2408000</v>
      </c>
      <c r="C41" s="453">
        <f t="shared" si="4"/>
        <v>2.7621413202347272E-4</v>
      </c>
      <c r="D41" s="452">
        <v>2100000</v>
      </c>
      <c r="E41" s="453">
        <f t="shared" si="5"/>
        <v>3.6049763092973542E-4</v>
      </c>
      <c r="F41" s="452">
        <f>B41-D41</f>
        <v>308000</v>
      </c>
      <c r="G41" s="454">
        <f>F41/D41</f>
        <v>0.14666666666666667</v>
      </c>
      <c r="H41" s="16" t="s">
        <v>2141</v>
      </c>
      <c r="I41" s="444">
        <f>세출총괄표4!B41</f>
        <v>4030000</v>
      </c>
      <c r="J41" s="17">
        <f t="shared" si="41"/>
        <v>4.622686677967587E-4</v>
      </c>
      <c r="K41" s="444">
        <f>세출총괄표4!D41</f>
        <v>1600000</v>
      </c>
      <c r="L41" s="14">
        <f t="shared" si="42"/>
        <v>2.7466486166075076E-4</v>
      </c>
      <c r="M41" s="444">
        <f t="shared" si="43"/>
        <v>2430000</v>
      </c>
      <c r="N41" s="483">
        <f t="shared" si="44"/>
        <v>1.51875</v>
      </c>
      <c r="O41" s="62"/>
      <c r="P41" s="62"/>
      <c r="Q41" s="1791" t="s">
        <v>2581</v>
      </c>
      <c r="R41" s="1801">
        <f>B37</f>
        <v>13000</v>
      </c>
      <c r="S41" s="1802">
        <f t="shared" si="48"/>
        <v>8.3593760047326926E-5</v>
      </c>
      <c r="T41" s="1801">
        <f t="shared" ref="T41" si="52">D37</f>
        <v>0</v>
      </c>
      <c r="U41" s="1802">
        <f t="shared" si="50"/>
        <v>0</v>
      </c>
      <c r="V41" s="1801">
        <f t="shared" si="46"/>
        <v>13000</v>
      </c>
      <c r="W41" s="1802">
        <v>1</v>
      </c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</row>
    <row r="42" spans="1:167" s="5" customFormat="1" ht="21.95" customHeight="1">
      <c r="A42" s="488" t="s">
        <v>2174</v>
      </c>
      <c r="B42" s="445">
        <f>B43</f>
        <v>300000000</v>
      </c>
      <c r="C42" s="25">
        <f>B42/$B$7</f>
        <v>3.4412059637475831E-2</v>
      </c>
      <c r="D42" s="445">
        <f>D43</f>
        <v>81325000</v>
      </c>
      <c r="E42" s="26">
        <f>D42/$D$7</f>
        <v>1.3960699921600348E-2</v>
      </c>
      <c r="F42" s="447">
        <f>B42-D42</f>
        <v>218675000</v>
      </c>
      <c r="G42" s="22">
        <f>F42/D42</f>
        <v>2.6889025514909313</v>
      </c>
      <c r="H42" s="16" t="s">
        <v>2127</v>
      </c>
      <c r="I42" s="444">
        <f>세출총괄표4!B42</f>
        <v>100000000</v>
      </c>
      <c r="J42" s="17">
        <f t="shared" si="41"/>
        <v>1.1470686545825278E-2</v>
      </c>
      <c r="K42" s="444">
        <f>세출총괄표4!D42</f>
        <v>0</v>
      </c>
      <c r="L42" s="14">
        <f t="shared" si="42"/>
        <v>0</v>
      </c>
      <c r="M42" s="444">
        <f t="shared" si="43"/>
        <v>100000000</v>
      </c>
      <c r="N42" s="483">
        <v>1</v>
      </c>
      <c r="O42" s="62"/>
      <c r="P42" s="62"/>
      <c r="Q42" s="1791" t="s">
        <v>2582</v>
      </c>
      <c r="R42" s="1801">
        <f>B24</f>
        <v>118473000</v>
      </c>
      <c r="S42" s="1802">
        <f t="shared" si="48"/>
        <v>0.76181565646822791</v>
      </c>
      <c r="T42" s="1801">
        <f t="shared" ref="T42" si="53">D24</f>
        <v>80325000</v>
      </c>
      <c r="U42" s="1802">
        <f t="shared" si="50"/>
        <v>0.7024793388429752</v>
      </c>
      <c r="V42" s="1801">
        <f t="shared" si="46"/>
        <v>38148000</v>
      </c>
      <c r="W42" s="1802">
        <f t="shared" si="47"/>
        <v>0.47492063492063491</v>
      </c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</row>
    <row r="43" spans="1:167" s="5" customFormat="1" ht="21.95" customHeight="1">
      <c r="A43" s="537" t="s">
        <v>2175</v>
      </c>
      <c r="B43" s="459">
        <f>세입예산총괄표2!B43</f>
        <v>300000000</v>
      </c>
      <c r="C43" s="460">
        <f>B43/$B$7</f>
        <v>3.4412059637475831E-2</v>
      </c>
      <c r="D43" s="459">
        <f>세입예산총괄표2!D43</f>
        <v>81325000</v>
      </c>
      <c r="E43" s="460">
        <f>D43/$D$7</f>
        <v>1.3960699921600348E-2</v>
      </c>
      <c r="F43" s="459">
        <f>B43-D43</f>
        <v>218675000</v>
      </c>
      <c r="G43" s="461">
        <f>F43/D43</f>
        <v>2.6889025514909313</v>
      </c>
      <c r="H43" s="16" t="s">
        <v>1626</v>
      </c>
      <c r="I43" s="444">
        <f>세출총괄표4!B43</f>
        <v>0</v>
      </c>
      <c r="J43" s="17">
        <f t="shared" si="41"/>
        <v>0</v>
      </c>
      <c r="K43" s="444">
        <f>세출총괄표4!D43</f>
        <v>32000000</v>
      </c>
      <c r="L43" s="14">
        <f t="shared" si="42"/>
        <v>5.4932972332150153E-3</v>
      </c>
      <c r="M43" s="444">
        <f t="shared" si="43"/>
        <v>-32000000</v>
      </c>
      <c r="N43" s="483">
        <f t="shared" si="44"/>
        <v>-1</v>
      </c>
      <c r="O43" s="62"/>
      <c r="P43" s="62"/>
      <c r="Q43" s="1806" t="s">
        <v>2583</v>
      </c>
      <c r="R43" s="1800">
        <v>0</v>
      </c>
      <c r="S43" s="1802">
        <f t="shared" si="48"/>
        <v>0</v>
      </c>
      <c r="T43" s="1800"/>
      <c r="U43" s="1802">
        <f t="shared" si="50"/>
        <v>0</v>
      </c>
      <c r="V43" s="1801">
        <f t="shared" si="46"/>
        <v>0</v>
      </c>
      <c r="W43" s="1802">
        <v>0</v>
      </c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</row>
    <row r="44" spans="1:167" s="5" customFormat="1" ht="21.95" customHeight="1">
      <c r="A44" s="538"/>
      <c r="B44" s="465"/>
      <c r="C44" s="57"/>
      <c r="D44" s="465"/>
      <c r="E44" s="63"/>
      <c r="F44" s="465"/>
      <c r="G44" s="58"/>
      <c r="H44" s="16" t="s">
        <v>1627</v>
      </c>
      <c r="I44" s="444">
        <f>세출총괄표4!B44</f>
        <v>49601000</v>
      </c>
      <c r="J44" s="17">
        <f t="shared" si="41"/>
        <v>5.689575233594796E-3</v>
      </c>
      <c r="K44" s="444">
        <f>세출총괄표4!D44</f>
        <v>9324000</v>
      </c>
      <c r="L44" s="14">
        <f t="shared" si="42"/>
        <v>1.6006094813280252E-3</v>
      </c>
      <c r="M44" s="444">
        <f t="shared" si="43"/>
        <v>40277000</v>
      </c>
      <c r="N44" s="483">
        <f t="shared" si="44"/>
        <v>4.3197125697125696</v>
      </c>
      <c r="O44" s="62"/>
      <c r="P44" s="62"/>
      <c r="Q44" s="1807" t="s">
        <v>2595</v>
      </c>
      <c r="R44" s="1801">
        <f>B41</f>
        <v>2408000</v>
      </c>
      <c r="S44" s="1802">
        <f t="shared" si="48"/>
        <v>1.5484136476458712E-2</v>
      </c>
      <c r="T44" s="1801">
        <f t="shared" ref="T44" si="54">D41</f>
        <v>2100000</v>
      </c>
      <c r="U44" s="1802">
        <f t="shared" si="50"/>
        <v>1.8365472910927456E-2</v>
      </c>
      <c r="V44" s="1801">
        <f t="shared" si="46"/>
        <v>308000</v>
      </c>
      <c r="W44" s="1802">
        <f t="shared" si="47"/>
        <v>0.14666666666666667</v>
      </c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</row>
    <row r="45" spans="1:167" s="5" customFormat="1" ht="21.95" customHeight="1">
      <c r="A45" s="539"/>
      <c r="B45" s="466"/>
      <c r="C45" s="17"/>
      <c r="D45" s="466"/>
      <c r="E45" s="65"/>
      <c r="F45" s="466"/>
      <c r="G45" s="18"/>
      <c r="H45" s="16" t="s">
        <v>1628</v>
      </c>
      <c r="I45" s="444">
        <f>세출총괄표4!B45</f>
        <v>32226000</v>
      </c>
      <c r="J45" s="17">
        <f t="shared" si="41"/>
        <v>3.6965434462576541E-3</v>
      </c>
      <c r="K45" s="444">
        <f>세출총괄표4!D45</f>
        <v>23485000</v>
      </c>
      <c r="L45" s="14">
        <f t="shared" si="42"/>
        <v>4.0315651725642077E-3</v>
      </c>
      <c r="M45" s="444">
        <f t="shared" si="43"/>
        <v>8741000</v>
      </c>
      <c r="N45" s="483">
        <f t="shared" si="44"/>
        <v>0.37219501809665745</v>
      </c>
      <c r="O45" s="62"/>
      <c r="P45" s="62"/>
      <c r="Q45" s="62" t="s">
        <v>2591</v>
      </c>
      <c r="R45" s="1803">
        <f>SUM(R46:R50)</f>
        <v>155514000</v>
      </c>
      <c r="S45" s="1804">
        <f t="shared" si="48"/>
        <v>1</v>
      </c>
      <c r="T45" s="1803">
        <f>SUM(T46:T50)</f>
        <v>114345000</v>
      </c>
      <c r="U45" s="1804">
        <f t="shared" si="50"/>
        <v>1</v>
      </c>
      <c r="V45" s="1803">
        <f t="shared" ref="V45:V50" si="55">R45-T45</f>
        <v>41169000</v>
      </c>
      <c r="W45" s="1804">
        <f t="shared" ref="W45:W49" si="56">V45/T45</f>
        <v>0.36004197822379641</v>
      </c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</row>
    <row r="46" spans="1:167" s="5" customFormat="1" ht="21.95" customHeight="1">
      <c r="A46" s="539"/>
      <c r="B46" s="466"/>
      <c r="C46" s="17"/>
      <c r="D46" s="466"/>
      <c r="E46" s="65"/>
      <c r="F46" s="466"/>
      <c r="G46" s="18"/>
      <c r="H46" s="23" t="s">
        <v>2516</v>
      </c>
      <c r="I46" s="444">
        <f>세출총괄표4!B46</f>
        <v>10500000</v>
      </c>
      <c r="J46" s="17">
        <f t="shared" si="41"/>
        <v>1.2044220873116541E-3</v>
      </c>
      <c r="K46" s="444">
        <f>세출총괄표4!D46</f>
        <v>10150000</v>
      </c>
      <c r="L46" s="14">
        <f t="shared" si="42"/>
        <v>1.7424052161603878E-3</v>
      </c>
      <c r="M46" s="444">
        <f t="shared" si="43"/>
        <v>350000</v>
      </c>
      <c r="N46" s="483">
        <f t="shared" si="44"/>
        <v>3.4482758620689655E-2</v>
      </c>
      <c r="O46" s="62"/>
      <c r="P46" s="62"/>
      <c r="Q46" s="1791" t="s">
        <v>2584</v>
      </c>
      <c r="R46" s="1801">
        <f>I19</f>
        <v>63200000</v>
      </c>
      <c r="S46" s="1802">
        <f t="shared" si="48"/>
        <v>0.4063942796146971</v>
      </c>
      <c r="T46" s="1801">
        <f t="shared" ref="T46" si="57">K19</f>
        <v>42000000</v>
      </c>
      <c r="U46" s="1802">
        <f t="shared" si="50"/>
        <v>0.3673094582185491</v>
      </c>
      <c r="V46" s="1801">
        <f t="shared" si="55"/>
        <v>21200000</v>
      </c>
      <c r="W46" s="1802">
        <f t="shared" si="56"/>
        <v>0.50476190476190474</v>
      </c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</row>
    <row r="47" spans="1:167" s="5" customFormat="1" ht="21.95" customHeight="1">
      <c r="A47" s="539"/>
      <c r="B47" s="466"/>
      <c r="C47" s="17"/>
      <c r="D47" s="466"/>
      <c r="E47" s="65"/>
      <c r="F47" s="466"/>
      <c r="G47" s="18"/>
      <c r="H47" s="19" t="s">
        <v>2553</v>
      </c>
      <c r="I47" s="445">
        <f>SUM(I48:I52)</f>
        <v>378249000</v>
      </c>
      <c r="J47" s="20">
        <f>I47/$I$7</f>
        <v>4.3387757152718656E-2</v>
      </c>
      <c r="K47" s="445">
        <f>SUM(K48:K52)</f>
        <v>12500000</v>
      </c>
      <c r="L47" s="20">
        <f>K47/$K$7</f>
        <v>2.1458192317246154E-3</v>
      </c>
      <c r="M47" s="445">
        <f>I47-K47</f>
        <v>365749000</v>
      </c>
      <c r="N47" s="485">
        <f>M47/K47</f>
        <v>29.259920000000001</v>
      </c>
      <c r="O47" s="62"/>
      <c r="P47" s="62"/>
      <c r="Q47" s="1791" t="s">
        <v>2585</v>
      </c>
      <c r="R47" s="1801">
        <f>I32</f>
        <v>23047000</v>
      </c>
      <c r="S47" s="1802">
        <f t="shared" si="48"/>
        <v>0.14819887598544182</v>
      </c>
      <c r="T47" s="1801">
        <f t="shared" ref="T47" si="58">K32</f>
        <v>14840000</v>
      </c>
      <c r="U47" s="1802">
        <f t="shared" si="50"/>
        <v>0.1297826752372207</v>
      </c>
      <c r="V47" s="1801">
        <f t="shared" si="55"/>
        <v>8207000</v>
      </c>
      <c r="W47" s="1802">
        <f t="shared" si="56"/>
        <v>0.55303234501347709</v>
      </c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</row>
    <row r="48" spans="1:167" s="5" customFormat="1" ht="21.95" customHeight="1">
      <c r="A48" s="539"/>
      <c r="B48" s="466"/>
      <c r="C48" s="17"/>
      <c r="D48" s="466"/>
      <c r="E48" s="65"/>
      <c r="F48" s="466"/>
      <c r="G48" s="18"/>
      <c r="H48" s="56" t="s">
        <v>1623</v>
      </c>
      <c r="I48" s="452">
        <f>세출총괄표4!B48</f>
        <v>5000000</v>
      </c>
      <c r="J48" s="55">
        <f>I48/$I$7</f>
        <v>5.7353432729126386E-4</v>
      </c>
      <c r="K48" s="455">
        <f>세출총괄표4!D48</f>
        <v>5500000</v>
      </c>
      <c r="L48" s="57">
        <f>K48/$K$7</f>
        <v>9.4416046195883088E-4</v>
      </c>
      <c r="M48" s="455">
        <f>I48-K48</f>
        <v>-500000</v>
      </c>
      <c r="N48" s="530">
        <f>M48/K48</f>
        <v>-9.0909090909090912E-2</v>
      </c>
      <c r="O48" s="62"/>
      <c r="P48" s="62"/>
      <c r="Q48" s="1791" t="s">
        <v>2586</v>
      </c>
      <c r="R48" s="1801">
        <f>I45</f>
        <v>32226000</v>
      </c>
      <c r="S48" s="1802">
        <f t="shared" si="48"/>
        <v>0.20722250086808905</v>
      </c>
      <c r="T48" s="1801">
        <f t="shared" ref="T48" si="59">K45</f>
        <v>23485000</v>
      </c>
      <c r="U48" s="1802">
        <f t="shared" si="50"/>
        <v>0.2053872053872054</v>
      </c>
      <c r="V48" s="1801">
        <f t="shared" si="55"/>
        <v>8741000</v>
      </c>
      <c r="W48" s="1802">
        <f t="shared" si="56"/>
        <v>0.37219501809665745</v>
      </c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</row>
    <row r="49" spans="1:167" s="5" customFormat="1" ht="21.95" customHeight="1">
      <c r="A49" s="539"/>
      <c r="B49" s="466"/>
      <c r="C49" s="17"/>
      <c r="D49" s="466"/>
      <c r="E49" s="65"/>
      <c r="F49" s="466"/>
      <c r="G49" s="18"/>
      <c r="H49" s="16" t="s">
        <v>30</v>
      </c>
      <c r="I49" s="444">
        <f>세출총괄표4!B49</f>
        <v>3000000</v>
      </c>
      <c r="J49" s="17">
        <f>I49/$I$7</f>
        <v>3.4412059637475834E-4</v>
      </c>
      <c r="K49" s="444">
        <f>세출총괄표4!D49</f>
        <v>3000000</v>
      </c>
      <c r="L49" s="17">
        <f>K49/$K$7</f>
        <v>5.1499661561390771E-4</v>
      </c>
      <c r="M49" s="444">
        <f>I49-K49</f>
        <v>0</v>
      </c>
      <c r="N49" s="483">
        <f>M49/K49</f>
        <v>0</v>
      </c>
      <c r="O49" s="62"/>
      <c r="P49" s="62"/>
      <c r="Q49" s="1791" t="s">
        <v>2587</v>
      </c>
      <c r="R49" s="1801">
        <f>I64+I74</f>
        <v>37028000</v>
      </c>
      <c r="S49" s="1802">
        <f t="shared" si="48"/>
        <v>0.23810074977172474</v>
      </c>
      <c r="T49" s="1801">
        <f t="shared" ref="T49" si="60">K64+K74</f>
        <v>34020000</v>
      </c>
      <c r="U49" s="1802">
        <f t="shared" si="50"/>
        <v>0.2975206611570248</v>
      </c>
      <c r="V49" s="1801">
        <f t="shared" si="55"/>
        <v>3008000</v>
      </c>
      <c r="W49" s="1802">
        <f t="shared" si="56"/>
        <v>8.841857730746619E-2</v>
      </c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</row>
    <row r="50" spans="1:167" s="5" customFormat="1" ht="21.95" customHeight="1">
      <c r="A50" s="539"/>
      <c r="B50" s="466"/>
      <c r="C50" s="17"/>
      <c r="D50" s="466"/>
      <c r="E50" s="65"/>
      <c r="F50" s="466"/>
      <c r="G50" s="18"/>
      <c r="H50" s="16" t="s">
        <v>1629</v>
      </c>
      <c r="I50" s="444">
        <f>세출총괄표4!B50</f>
        <v>1200000</v>
      </c>
      <c r="J50" s="17">
        <f t="shared" ref="J50:J52" si="61">I50/$I$7</f>
        <v>1.3764823854990334E-4</v>
      </c>
      <c r="K50" s="444">
        <f>세출총괄표4!D50</f>
        <v>1000000</v>
      </c>
      <c r="L50" s="17">
        <f t="shared" ref="L50:L52" si="62">K50/$K$7</f>
        <v>1.7166553853796923E-4</v>
      </c>
      <c r="M50" s="444">
        <f t="shared" ref="M50:M52" si="63">I50-K50</f>
        <v>200000</v>
      </c>
      <c r="N50" s="483">
        <f t="shared" ref="N50:N51" si="64">M50/K50</f>
        <v>0.2</v>
      </c>
      <c r="O50" s="62"/>
      <c r="P50" s="62"/>
      <c r="Q50" s="1791" t="s">
        <v>2588</v>
      </c>
      <c r="R50" s="1801">
        <f>I93</f>
        <v>13000</v>
      </c>
      <c r="S50" s="1802">
        <f t="shared" si="48"/>
        <v>8.3593760047326926E-5</v>
      </c>
      <c r="T50" s="1801">
        <f t="shared" ref="T50" si="65">K93</f>
        <v>0</v>
      </c>
      <c r="U50" s="1802">
        <f t="shared" si="50"/>
        <v>0</v>
      </c>
      <c r="V50" s="1801">
        <f t="shared" si="55"/>
        <v>13000</v>
      </c>
      <c r="W50" s="1802">
        <v>1</v>
      </c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</row>
    <row r="51" spans="1:167" s="5" customFormat="1" ht="21.95" customHeight="1">
      <c r="A51" s="539"/>
      <c r="B51" s="466"/>
      <c r="C51" s="17"/>
      <c r="D51" s="466"/>
      <c r="E51" s="65"/>
      <c r="F51" s="466"/>
      <c r="G51" s="18"/>
      <c r="H51" s="16" t="s">
        <v>1624</v>
      </c>
      <c r="I51" s="444">
        <f>세출총괄표4!B51</f>
        <v>6200000</v>
      </c>
      <c r="J51" s="17">
        <f t="shared" si="61"/>
        <v>7.111825658411672E-4</v>
      </c>
      <c r="K51" s="444">
        <f>세출총괄표4!D51</f>
        <v>3000000</v>
      </c>
      <c r="L51" s="17">
        <f t="shared" si="62"/>
        <v>5.1499661561390771E-4</v>
      </c>
      <c r="M51" s="444">
        <f t="shared" si="63"/>
        <v>3200000</v>
      </c>
      <c r="N51" s="483">
        <f t="shared" si="64"/>
        <v>1.0666666666666667</v>
      </c>
      <c r="O51" s="62"/>
      <c r="P51" s="62"/>
      <c r="Q51" s="62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</row>
    <row r="52" spans="1:167" s="5" customFormat="1" ht="21.95" customHeight="1" thickBot="1">
      <c r="A52" s="539"/>
      <c r="B52" s="466"/>
      <c r="C52" s="17"/>
      <c r="D52" s="466"/>
      <c r="E52" s="65"/>
      <c r="F52" s="466"/>
      <c r="G52" s="18"/>
      <c r="H52" s="16" t="s">
        <v>2127</v>
      </c>
      <c r="I52" s="444">
        <f>세출총괄표4!B52</f>
        <v>362849000</v>
      </c>
      <c r="J52" s="17">
        <f t="shared" si="61"/>
        <v>4.1621271424661564E-2</v>
      </c>
      <c r="K52" s="444">
        <f>세출총괄표4!D52</f>
        <v>0</v>
      </c>
      <c r="L52" s="17">
        <f t="shared" si="62"/>
        <v>0</v>
      </c>
      <c r="M52" s="444">
        <f t="shared" si="63"/>
        <v>362849000</v>
      </c>
      <c r="N52" s="483">
        <v>1</v>
      </c>
      <c r="O52" s="62"/>
      <c r="P52" s="62"/>
      <c r="Q52" s="62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</row>
    <row r="53" spans="1:167" s="5" customFormat="1" ht="21.95" customHeight="1" thickTop="1">
      <c r="A53" s="539"/>
      <c r="B53" s="466"/>
      <c r="C53" s="17"/>
      <c r="D53" s="466"/>
      <c r="E53" s="65"/>
      <c r="F53" s="466"/>
      <c r="G53" s="18"/>
      <c r="H53" s="19" t="s">
        <v>2554</v>
      </c>
      <c r="I53" s="445">
        <f>I54</f>
        <v>91448000</v>
      </c>
      <c r="J53" s="20">
        <f t="shared" ref="J53:J61" si="66">I53/$I$7</f>
        <v>1.0489713432426301E-2</v>
      </c>
      <c r="K53" s="445">
        <f>K54</f>
        <v>17500000</v>
      </c>
      <c r="L53" s="20">
        <f t="shared" ref="L53:L61" si="67">K53/$K$7</f>
        <v>3.0041469244144617E-3</v>
      </c>
      <c r="M53" s="445">
        <f t="shared" ref="M53:M61" si="68">I53-K53</f>
        <v>73948000</v>
      </c>
      <c r="N53" s="485">
        <f t="shared" ref="N53:N60" si="69">M53/K53</f>
        <v>4.2256</v>
      </c>
      <c r="O53" s="62"/>
      <c r="P53" s="62"/>
      <c r="Q53" s="1809" t="s">
        <v>2584</v>
      </c>
      <c r="R53" s="1794">
        <f>K9+K59</f>
        <v>2517933000</v>
      </c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</row>
    <row r="54" spans="1:167" s="5" customFormat="1" ht="21.95" customHeight="1">
      <c r="A54" s="539"/>
      <c r="B54" s="466"/>
      <c r="C54" s="17"/>
      <c r="D54" s="466"/>
      <c r="E54" s="65"/>
      <c r="F54" s="466"/>
      <c r="G54" s="18"/>
      <c r="H54" s="56" t="s">
        <v>1623</v>
      </c>
      <c r="I54" s="452">
        <f>세출총괄표4!B54</f>
        <v>91448000</v>
      </c>
      <c r="J54" s="55">
        <f t="shared" si="66"/>
        <v>1.0489713432426301E-2</v>
      </c>
      <c r="K54" s="455">
        <f>세출총괄표4!D54</f>
        <v>17500000</v>
      </c>
      <c r="L54" s="57">
        <f t="shared" si="67"/>
        <v>3.0041469244144617E-3</v>
      </c>
      <c r="M54" s="455">
        <f t="shared" si="68"/>
        <v>73948000</v>
      </c>
      <c r="N54" s="530">
        <f t="shared" si="69"/>
        <v>4.2256</v>
      </c>
      <c r="O54" s="62"/>
      <c r="P54" s="62"/>
      <c r="Q54" s="1810" t="s">
        <v>2585</v>
      </c>
      <c r="R54" s="1794">
        <f>K22+K66</f>
        <v>1226955000</v>
      </c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</row>
    <row r="55" spans="1:167" s="5" customFormat="1" ht="21.95" customHeight="1">
      <c r="A55" s="539"/>
      <c r="B55" s="466"/>
      <c r="C55" s="17"/>
      <c r="D55" s="466"/>
      <c r="E55" s="65"/>
      <c r="F55" s="466"/>
      <c r="G55" s="18"/>
      <c r="H55" s="19" t="s">
        <v>2555</v>
      </c>
      <c r="I55" s="445">
        <f>SUM(I56:I57)</f>
        <v>20000000</v>
      </c>
      <c r="J55" s="20">
        <f t="shared" si="66"/>
        <v>2.2941373091650554E-3</v>
      </c>
      <c r="K55" s="445">
        <f>SUM(K56:K57)</f>
        <v>3329000</v>
      </c>
      <c r="L55" s="20">
        <f t="shared" si="67"/>
        <v>5.7147457779289956E-4</v>
      </c>
      <c r="M55" s="445">
        <f t="shared" si="68"/>
        <v>16671000</v>
      </c>
      <c r="N55" s="485">
        <f t="shared" si="69"/>
        <v>5.0078101531991592</v>
      </c>
      <c r="O55" s="62"/>
      <c r="P55" s="62"/>
      <c r="Q55" s="1811" t="s">
        <v>2596</v>
      </c>
      <c r="R55" s="1794">
        <f>K35+K77</f>
        <v>1988954000</v>
      </c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</row>
    <row r="56" spans="1:167" s="5" customFormat="1" ht="21.95" customHeight="1">
      <c r="A56" s="539"/>
      <c r="B56" s="466"/>
      <c r="C56" s="17"/>
      <c r="D56" s="466"/>
      <c r="E56" s="65"/>
      <c r="F56" s="466"/>
      <c r="G56" s="18"/>
      <c r="H56" s="56" t="s">
        <v>1623</v>
      </c>
      <c r="I56" s="452">
        <f>세출총괄표4!B56</f>
        <v>20000000</v>
      </c>
      <c r="J56" s="55">
        <f t="shared" si="66"/>
        <v>2.2941373091650554E-3</v>
      </c>
      <c r="K56" s="455">
        <f>세출총괄표4!D56</f>
        <v>3173000</v>
      </c>
      <c r="L56" s="57">
        <f t="shared" si="67"/>
        <v>5.4469475378097641E-4</v>
      </c>
      <c r="M56" s="455">
        <f t="shared" si="68"/>
        <v>16827000</v>
      </c>
      <c r="N56" s="530">
        <f t="shared" si="69"/>
        <v>5.3031831074692724</v>
      </c>
      <c r="O56" s="62"/>
      <c r="P56" s="62"/>
      <c r="Q56" s="1810" t="s">
        <v>2597</v>
      </c>
      <c r="R56" s="1794">
        <f>K47</f>
        <v>12500000</v>
      </c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</row>
    <row r="57" spans="1:167" s="5" customFormat="1" ht="21.95" customHeight="1">
      <c r="A57" s="1766"/>
      <c r="B57" s="1767"/>
      <c r="C57" s="24"/>
      <c r="D57" s="1767"/>
      <c r="E57" s="1768"/>
      <c r="F57" s="1767"/>
      <c r="G57" s="1769"/>
      <c r="H57" s="23" t="s">
        <v>1629</v>
      </c>
      <c r="I57" s="456">
        <f>세출총괄표4!B57</f>
        <v>0</v>
      </c>
      <c r="J57" s="24">
        <f t="shared" si="66"/>
        <v>0</v>
      </c>
      <c r="K57" s="456">
        <f>세출총괄표4!D57</f>
        <v>156000</v>
      </c>
      <c r="L57" s="24">
        <f t="shared" si="67"/>
        <v>2.6779824011923201E-5</v>
      </c>
      <c r="M57" s="456">
        <f t="shared" si="68"/>
        <v>-156000</v>
      </c>
      <c r="N57" s="534">
        <f t="shared" si="69"/>
        <v>-1</v>
      </c>
      <c r="O57" s="62"/>
      <c r="P57" s="62"/>
      <c r="Q57" s="1810" t="s">
        <v>2598</v>
      </c>
      <c r="R57" s="1794">
        <f>K53</f>
        <v>17500000</v>
      </c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</row>
    <row r="58" spans="1:167" s="5" customFormat="1" ht="21.95" customHeight="1">
      <c r="A58" s="1760" t="s">
        <v>34</v>
      </c>
      <c r="B58" s="1761">
        <f>B59+B68+B75+B82+B89</f>
        <v>2413542000</v>
      </c>
      <c r="C58" s="1762">
        <f>B58/$B$7</f>
        <v>0.27684983747184233</v>
      </c>
      <c r="D58" s="1761">
        <f>D59+D68+D75+D82+D89</f>
        <v>1413400000</v>
      </c>
      <c r="E58" s="1762">
        <f>D58/$D$7</f>
        <v>0.24263207216956573</v>
      </c>
      <c r="F58" s="1761">
        <f>B58-D58</f>
        <v>1000142000</v>
      </c>
      <c r="G58" s="1763">
        <f>F58/D58</f>
        <v>0.70761426347813783</v>
      </c>
      <c r="H58" s="1764" t="s">
        <v>64</v>
      </c>
      <c r="I58" s="1761">
        <f>I59+I66+I77+I83+I96</f>
        <v>2418110000</v>
      </c>
      <c r="J58" s="1762">
        <f t="shared" si="66"/>
        <v>0.27737381843325565</v>
      </c>
      <c r="K58" s="1761">
        <f>K59+K66+K77+K83+K96</f>
        <v>1420303000</v>
      </c>
      <c r="L58" s="1762">
        <f t="shared" si="67"/>
        <v>0.24381707938209332</v>
      </c>
      <c r="M58" s="1761">
        <f t="shared" si="68"/>
        <v>997807000</v>
      </c>
      <c r="N58" s="1765">
        <f t="shared" si="69"/>
        <v>0.70253107963582417</v>
      </c>
      <c r="O58" s="62"/>
      <c r="P58" s="62"/>
      <c r="Q58" s="1810" t="s">
        <v>2599</v>
      </c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</row>
    <row r="59" spans="1:167" s="5" customFormat="1" ht="21.95" customHeight="1" thickBot="1">
      <c r="A59" s="479" t="s">
        <v>2176</v>
      </c>
      <c r="B59" s="448">
        <f>SUM(B60:B67)</f>
        <v>2002770000</v>
      </c>
      <c r="C59" s="27">
        <f>B59/$B$7</f>
        <v>0.22973146893382493</v>
      </c>
      <c r="D59" s="448">
        <f>SUM(D60:D67)</f>
        <v>1078032000</v>
      </c>
      <c r="E59" s="27">
        <f>D59/$D$7</f>
        <v>0.18506094384116406</v>
      </c>
      <c r="F59" s="448">
        <f>B59-D59</f>
        <v>924738000</v>
      </c>
      <c r="G59" s="28">
        <f>F59/D59</f>
        <v>0.85780199474598162</v>
      </c>
      <c r="H59" s="8" t="s">
        <v>58</v>
      </c>
      <c r="I59" s="448">
        <f>SUM(I60:I65)</f>
        <v>287290000</v>
      </c>
      <c r="J59" s="9">
        <f t="shared" si="66"/>
        <v>3.2954135377501442E-2</v>
      </c>
      <c r="K59" s="448">
        <f>SUM(K60:K65)</f>
        <v>220537000</v>
      </c>
      <c r="L59" s="9">
        <f t="shared" si="67"/>
        <v>3.7858602872548122E-2</v>
      </c>
      <c r="M59" s="448">
        <f t="shared" si="68"/>
        <v>66753000</v>
      </c>
      <c r="N59" s="489">
        <f t="shared" si="69"/>
        <v>0.30268390338129203</v>
      </c>
      <c r="O59" s="62"/>
      <c r="P59" s="62"/>
      <c r="Q59" s="1812" t="s">
        <v>2600</v>
      </c>
      <c r="R59" s="1794">
        <f>K55+K96</f>
        <v>61439000</v>
      </c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</row>
    <row r="60" spans="1:167" s="5" customFormat="1" ht="21.95" customHeight="1" thickTop="1">
      <c r="A60" s="490" t="s">
        <v>2165</v>
      </c>
      <c r="B60" s="449">
        <f>세입예산총괄표2!B46</f>
        <v>597440000</v>
      </c>
      <c r="C60" s="30">
        <f>B60/$B$7</f>
        <v>6.8530469699378538E-2</v>
      </c>
      <c r="D60" s="449">
        <f>세입예산총괄표2!D46</f>
        <v>597192000</v>
      </c>
      <c r="E60" s="30">
        <f>D60/$D$7</f>
        <v>0.10251728629056693</v>
      </c>
      <c r="F60" s="449">
        <f>B60-D60</f>
        <v>248000</v>
      </c>
      <c r="G60" s="31">
        <f>F60/D60</f>
        <v>4.1527682889255048E-4</v>
      </c>
      <c r="H60" s="36" t="s">
        <v>66</v>
      </c>
      <c r="I60" s="457">
        <f>세출총괄표4!B60</f>
        <v>171310000</v>
      </c>
      <c r="J60" s="37">
        <f t="shared" si="66"/>
        <v>1.9650433121653283E-2</v>
      </c>
      <c r="K60" s="457">
        <f>세출총괄표4!D60</f>
        <v>189437000</v>
      </c>
      <c r="L60" s="37">
        <f t="shared" si="67"/>
        <v>3.2519804624017282E-2</v>
      </c>
      <c r="M60" s="457">
        <f t="shared" si="68"/>
        <v>-18127000</v>
      </c>
      <c r="N60" s="495">
        <f t="shared" si="69"/>
        <v>-9.5688804193478569E-2</v>
      </c>
      <c r="O60" s="62"/>
      <c r="P60" s="62"/>
      <c r="Q60" s="62"/>
      <c r="R60" s="1794">
        <f>SUM(R53:R59)</f>
        <v>5825281000</v>
      </c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</row>
    <row r="61" spans="1:167" s="5" customFormat="1" ht="21.95" customHeight="1">
      <c r="A61" s="490" t="s">
        <v>2167</v>
      </c>
      <c r="B61" s="449">
        <f>세입예산총괄표2!B47</f>
        <v>8690000</v>
      </c>
      <c r="C61" s="30">
        <f>B61/$B$7</f>
        <v>9.9680266083221661E-4</v>
      </c>
      <c r="D61" s="449">
        <f>세입예산총괄표2!D47</f>
        <v>10000000</v>
      </c>
      <c r="E61" s="32">
        <f>D61/$D$7</f>
        <v>1.7166553853796924E-3</v>
      </c>
      <c r="F61" s="449">
        <f>B61-D61</f>
        <v>-1310000</v>
      </c>
      <c r="G61" s="31">
        <f>F61/D61</f>
        <v>-0.13100000000000001</v>
      </c>
      <c r="H61" s="16" t="s">
        <v>2161</v>
      </c>
      <c r="I61" s="450">
        <f>세출총괄표4!B61</f>
        <v>67640000</v>
      </c>
      <c r="J61" s="32">
        <f t="shared" si="66"/>
        <v>7.7587723795962179E-3</v>
      </c>
      <c r="K61" s="450">
        <f>세출총괄표4!D61</f>
        <v>0</v>
      </c>
      <c r="L61" s="32">
        <f t="shared" si="67"/>
        <v>0</v>
      </c>
      <c r="M61" s="450">
        <f t="shared" si="68"/>
        <v>67640000</v>
      </c>
      <c r="N61" s="491">
        <v>1</v>
      </c>
      <c r="O61" s="62"/>
      <c r="P61" s="62"/>
      <c r="Q61" s="62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</row>
    <row r="62" spans="1:167" s="5" customFormat="1" ht="21.95" customHeight="1">
      <c r="A62" s="490" t="s">
        <v>2168</v>
      </c>
      <c r="B62" s="449">
        <f>세입예산총괄표2!B48</f>
        <v>107650000</v>
      </c>
      <c r="C62" s="30">
        <f t="shared" ref="C62:C74" si="70">B62/$B$7</f>
        <v>1.2348194066580912E-2</v>
      </c>
      <c r="D62" s="449">
        <f>세입예산총괄표2!D48</f>
        <v>90220000</v>
      </c>
      <c r="E62" s="32">
        <f t="shared" ref="E62:E74" si="71">D62/$D$7</f>
        <v>1.5487664886895585E-2</v>
      </c>
      <c r="F62" s="449">
        <f t="shared" ref="F62:F67" si="72">B62-D62</f>
        <v>17430000</v>
      </c>
      <c r="G62" s="31">
        <f t="shared" ref="G62:G66" si="73">F62/D62</f>
        <v>0.19319441365550877</v>
      </c>
      <c r="H62" s="38" t="s">
        <v>80</v>
      </c>
      <c r="I62" s="450">
        <f>세출총괄표4!B62</f>
        <v>25640000</v>
      </c>
      <c r="J62" s="32">
        <f t="shared" ref="J62:J65" si="74">I62/$I$7</f>
        <v>2.9410840303496014E-3</v>
      </c>
      <c r="K62" s="450">
        <f>세출총괄표4!D62</f>
        <v>11600000</v>
      </c>
      <c r="L62" s="32">
        <f t="shared" ref="L62:L65" si="75">K62/$K$7</f>
        <v>1.9913202470404432E-3</v>
      </c>
      <c r="M62" s="450">
        <f t="shared" ref="M62:M65" si="76">I62-K62</f>
        <v>14040000</v>
      </c>
      <c r="N62" s="491">
        <f t="shared" ref="N62:N65" si="77">M62/K62</f>
        <v>1.210344827586207</v>
      </c>
      <c r="O62" s="62"/>
      <c r="P62" s="62"/>
      <c r="Q62" s="61"/>
      <c r="R62" s="4">
        <v>2018</v>
      </c>
      <c r="S62" s="4" t="s">
        <v>2589</v>
      </c>
      <c r="T62" s="4">
        <v>2017</v>
      </c>
      <c r="U62" s="4" t="s">
        <v>2589</v>
      </c>
      <c r="V62" s="4" t="s">
        <v>297</v>
      </c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</row>
    <row r="63" spans="1:167" s="5" customFormat="1" ht="21.95" customHeight="1">
      <c r="A63" s="490" t="s">
        <v>2141</v>
      </c>
      <c r="B63" s="449">
        <f>세입예산총괄표2!B49</f>
        <v>1480000</v>
      </c>
      <c r="C63" s="30">
        <f t="shared" si="70"/>
        <v>1.6976616087821411E-4</v>
      </c>
      <c r="D63" s="449">
        <f>세입예산총괄표2!D49</f>
        <v>2000000</v>
      </c>
      <c r="E63" s="32">
        <f t="shared" si="71"/>
        <v>3.4333107707593846E-4</v>
      </c>
      <c r="F63" s="449">
        <f t="shared" si="72"/>
        <v>-520000</v>
      </c>
      <c r="G63" s="31">
        <f t="shared" si="73"/>
        <v>-0.26</v>
      </c>
      <c r="H63" s="29" t="s">
        <v>68</v>
      </c>
      <c r="I63" s="450">
        <f>세출총괄표4!B63</f>
        <v>0</v>
      </c>
      <c r="J63" s="32">
        <f t="shared" si="74"/>
        <v>0</v>
      </c>
      <c r="K63" s="450">
        <f>세출총괄표4!D63</f>
        <v>600000</v>
      </c>
      <c r="L63" s="32">
        <f t="shared" si="75"/>
        <v>1.0299932312278155E-4</v>
      </c>
      <c r="M63" s="450">
        <f t="shared" si="76"/>
        <v>-600000</v>
      </c>
      <c r="N63" s="491">
        <f t="shared" si="77"/>
        <v>-1</v>
      </c>
      <c r="O63" s="62"/>
      <c r="P63" s="62" t="s">
        <v>2609</v>
      </c>
      <c r="Q63" s="1792" t="s">
        <v>2590</v>
      </c>
      <c r="R63" s="1805">
        <f>SUM(R64:R70)</f>
        <v>0</v>
      </c>
      <c r="S63" s="1808">
        <f>SUM(S64:S70)</f>
        <v>0</v>
      </c>
      <c r="T63" s="1805">
        <f>SUM(T64:T70)</f>
        <v>0</v>
      </c>
      <c r="U63" s="1808">
        <f>SUM(U64:U70)</f>
        <v>0</v>
      </c>
      <c r="V63" s="1803">
        <f>R63-T63</f>
        <v>0</v>
      </c>
      <c r="W63" s="1804" t="e">
        <f>V63/T63</f>
        <v>#DIV/0!</v>
      </c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</row>
    <row r="64" spans="1:167" s="5" customFormat="1" ht="21.95" customHeight="1">
      <c r="A64" s="490" t="s">
        <v>2127</v>
      </c>
      <c r="B64" s="449">
        <f>세입예산총괄표2!B50</f>
        <v>529550000</v>
      </c>
      <c r="C64" s="30">
        <f t="shared" si="70"/>
        <v>6.0743020603417762E-2</v>
      </c>
      <c r="D64" s="449">
        <f>세입예산총괄표2!D50</f>
        <v>0</v>
      </c>
      <c r="E64" s="32">
        <f t="shared" si="71"/>
        <v>0</v>
      </c>
      <c r="F64" s="449">
        <f t="shared" si="72"/>
        <v>529550000</v>
      </c>
      <c r="G64" s="31">
        <v>1</v>
      </c>
      <c r="H64" s="29" t="s">
        <v>28</v>
      </c>
      <c r="I64" s="450">
        <f>세출총괄표4!B64</f>
        <v>14700000</v>
      </c>
      <c r="J64" s="32">
        <f t="shared" si="74"/>
        <v>1.6861909222363159E-3</v>
      </c>
      <c r="K64" s="450">
        <f>세출총괄표4!D64</f>
        <v>14400000</v>
      </c>
      <c r="L64" s="32">
        <f t="shared" si="75"/>
        <v>2.4719837549467571E-3</v>
      </c>
      <c r="M64" s="450">
        <f t="shared" si="76"/>
        <v>300000</v>
      </c>
      <c r="N64" s="491">
        <f t="shared" si="77"/>
        <v>2.0833333333333332E-2</v>
      </c>
      <c r="O64" s="62"/>
      <c r="P64" s="62"/>
      <c r="Q64" s="1791" t="s">
        <v>2578</v>
      </c>
      <c r="R64" s="179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</row>
    <row r="65" spans="1:167" s="5" customFormat="1" ht="21.95" customHeight="1">
      <c r="A65" s="490" t="s">
        <v>2169</v>
      </c>
      <c r="B65" s="449">
        <f>세입예산총괄표2!B51</f>
        <v>736180000</v>
      </c>
      <c r="C65" s="30">
        <f t="shared" si="70"/>
        <v>8.4444900213056534E-2</v>
      </c>
      <c r="D65" s="449">
        <f>세입예산총괄표2!D51</f>
        <v>356020000</v>
      </c>
      <c r="E65" s="32">
        <f t="shared" si="71"/>
        <v>6.1116365030287806E-2</v>
      </c>
      <c r="F65" s="449">
        <f t="shared" si="72"/>
        <v>380160000</v>
      </c>
      <c r="G65" s="31">
        <f t="shared" si="73"/>
        <v>1.0678051794842986</v>
      </c>
      <c r="H65" s="29" t="s">
        <v>2515</v>
      </c>
      <c r="I65" s="450">
        <f>세출총괄표4!B65</f>
        <v>8000000</v>
      </c>
      <c r="J65" s="32">
        <f t="shared" si="74"/>
        <v>9.176549236660222E-4</v>
      </c>
      <c r="K65" s="450">
        <f>세출총괄표4!D65</f>
        <v>4500000</v>
      </c>
      <c r="L65" s="32">
        <f t="shared" si="75"/>
        <v>7.7249492342086157E-4</v>
      </c>
      <c r="M65" s="450">
        <f t="shared" si="76"/>
        <v>3500000</v>
      </c>
      <c r="N65" s="491">
        <f t="shared" si="77"/>
        <v>0.77777777777777779</v>
      </c>
      <c r="O65" s="62"/>
      <c r="P65" s="62"/>
      <c r="Q65" s="1791" t="s">
        <v>2579</v>
      </c>
      <c r="R65" s="179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</row>
    <row r="66" spans="1:167" s="5" customFormat="1" ht="21.95" customHeight="1">
      <c r="A66" s="490" t="s">
        <v>2162</v>
      </c>
      <c r="B66" s="449">
        <f>세입예산총괄표2!B52</f>
        <v>20160000</v>
      </c>
      <c r="C66" s="30">
        <f t="shared" si="70"/>
        <v>2.3124904076383761E-3</v>
      </c>
      <c r="D66" s="449">
        <f>세입예산총괄표2!D52</f>
        <v>21040000</v>
      </c>
      <c r="E66" s="32">
        <f t="shared" si="71"/>
        <v>3.6118429308388727E-3</v>
      </c>
      <c r="F66" s="449">
        <f t="shared" si="72"/>
        <v>-880000</v>
      </c>
      <c r="G66" s="31">
        <f t="shared" si="73"/>
        <v>-4.1825095057034217E-2</v>
      </c>
      <c r="H66" s="33" t="s">
        <v>2170</v>
      </c>
      <c r="I66" s="442">
        <f>SUM(I67:I76)</f>
        <v>455392000</v>
      </c>
      <c r="J66" s="9">
        <f>I66/$I$7</f>
        <v>5.223658887476465E-2</v>
      </c>
      <c r="K66" s="442">
        <f>SUM(K67:K76)</f>
        <v>314206000</v>
      </c>
      <c r="L66" s="9">
        <f>K66/$K$7</f>
        <v>5.3938342201861167E-2</v>
      </c>
      <c r="M66" s="448">
        <f>I66-K66</f>
        <v>141186000</v>
      </c>
      <c r="N66" s="489">
        <f>M66/K66</f>
        <v>0.44934215132747307</v>
      </c>
      <c r="O66" s="62"/>
      <c r="P66" s="62"/>
      <c r="Q66" s="1791" t="s">
        <v>2580</v>
      </c>
      <c r="R66" s="179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</row>
    <row r="67" spans="1:167" s="5" customFormat="1" ht="21.95" customHeight="1">
      <c r="A67" s="490" t="s">
        <v>2163</v>
      </c>
      <c r="B67" s="449">
        <f>세입예산총괄표2!B53</f>
        <v>1620000</v>
      </c>
      <c r="C67" s="30">
        <f t="shared" si="70"/>
        <v>1.8582512204236951E-4</v>
      </c>
      <c r="D67" s="449">
        <f>세입예산총괄표2!D53</f>
        <v>1560000</v>
      </c>
      <c r="E67" s="32">
        <f t="shared" si="71"/>
        <v>2.6779824011923203E-4</v>
      </c>
      <c r="F67" s="449">
        <f t="shared" si="72"/>
        <v>60000</v>
      </c>
      <c r="G67" s="31">
        <f>F67/D67</f>
        <v>3.8461538461538464E-2</v>
      </c>
      <c r="H67" s="29" t="s">
        <v>66</v>
      </c>
      <c r="I67" s="449">
        <f>세출총괄표4!B67</f>
        <v>82237000</v>
      </c>
      <c r="J67" s="30">
        <f>I67/$I$7</f>
        <v>9.4331484946903344E-3</v>
      </c>
      <c r="K67" s="449">
        <f>세출총괄표4!D67</f>
        <v>70995000</v>
      </c>
      <c r="L67" s="32">
        <f>K67/$K$7</f>
        <v>1.2187394908503126E-2</v>
      </c>
      <c r="M67" s="449">
        <f>I67-K67</f>
        <v>11242000</v>
      </c>
      <c r="N67" s="491">
        <f>M67/K67</f>
        <v>0.1583491795196845</v>
      </c>
      <c r="O67" s="62"/>
      <c r="P67" s="62"/>
      <c r="Q67" s="1791" t="s">
        <v>2581</v>
      </c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</row>
    <row r="68" spans="1:167" s="5" customFormat="1" ht="21.95" customHeight="1">
      <c r="A68" s="492" t="s">
        <v>37</v>
      </c>
      <c r="B68" s="442">
        <f>SUM(B69:B74)</f>
        <v>33760000</v>
      </c>
      <c r="C68" s="34">
        <f>B68/$B$7</f>
        <v>3.8725037778706141E-3</v>
      </c>
      <c r="D68" s="442">
        <f>SUM(D69:D74)</f>
        <v>33960000</v>
      </c>
      <c r="E68" s="27">
        <f>D68/$D$7</f>
        <v>5.8297616887494352E-3</v>
      </c>
      <c r="F68" s="442">
        <f>B68-D68</f>
        <v>-200000</v>
      </c>
      <c r="G68" s="35">
        <f>F68/D68</f>
        <v>-5.8892815076560662E-3</v>
      </c>
      <c r="H68" s="29" t="s">
        <v>2167</v>
      </c>
      <c r="I68" s="449">
        <f>세출총괄표4!B68</f>
        <v>16790000</v>
      </c>
      <c r="J68" s="30">
        <f>I68/$I$7</f>
        <v>1.9259282710440643E-3</v>
      </c>
      <c r="K68" s="449">
        <f>세출총괄표4!D68</f>
        <v>11721000</v>
      </c>
      <c r="L68" s="30">
        <f>K68/$K$7</f>
        <v>2.0120917772035373E-3</v>
      </c>
      <c r="M68" s="449">
        <f>I68-K68</f>
        <v>5069000</v>
      </c>
      <c r="N68" s="491">
        <f>M68/K68</f>
        <v>0.43247163211330092</v>
      </c>
      <c r="O68" s="62"/>
      <c r="P68" s="62"/>
      <c r="Q68" s="1791" t="s">
        <v>2582</v>
      </c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</row>
    <row r="69" spans="1:167" s="5" customFormat="1" ht="21.95" customHeight="1">
      <c r="A69" s="490" t="s">
        <v>2165</v>
      </c>
      <c r="B69" s="449">
        <f>세입예산총괄표2!B55</f>
        <v>3500000</v>
      </c>
      <c r="C69" s="30">
        <f t="shared" si="70"/>
        <v>4.0147402910388475E-4</v>
      </c>
      <c r="D69" s="449">
        <f>세입예산총괄표2!D55</f>
        <v>3500000</v>
      </c>
      <c r="E69" s="32">
        <f t="shared" si="71"/>
        <v>6.0082938488289237E-4</v>
      </c>
      <c r="F69" s="449">
        <f>B69-D69</f>
        <v>0</v>
      </c>
      <c r="G69" s="31">
        <f>F69/D69</f>
        <v>0</v>
      </c>
      <c r="H69" s="16" t="s">
        <v>74</v>
      </c>
      <c r="I69" s="449">
        <f>세출총괄표4!B69</f>
        <v>40250000</v>
      </c>
      <c r="J69" s="30">
        <f t="shared" ref="J69:J76" si="78">I69/$I$7</f>
        <v>4.6169513346946741E-3</v>
      </c>
      <c r="K69" s="449">
        <f>세출총괄표4!D69</f>
        <v>34314000</v>
      </c>
      <c r="L69" s="30">
        <f t="shared" ref="L69:L76" si="79">K69/$K$7</f>
        <v>5.8905312893918768E-3</v>
      </c>
      <c r="M69" s="449">
        <f t="shared" ref="M69:M76" si="80">I69-K69</f>
        <v>5936000</v>
      </c>
      <c r="N69" s="491">
        <f t="shared" ref="N69:N75" si="81">M69/K69</f>
        <v>0.17299061607507141</v>
      </c>
      <c r="O69" s="62"/>
      <c r="P69" s="62"/>
      <c r="Q69" s="1806" t="s">
        <v>2583</v>
      </c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</row>
    <row r="70" spans="1:167" s="5" customFormat="1" ht="21.95" customHeight="1">
      <c r="A70" s="490" t="s">
        <v>2167</v>
      </c>
      <c r="B70" s="449">
        <f>세입예산총괄표2!B56</f>
        <v>4000000</v>
      </c>
      <c r="C70" s="30">
        <f t="shared" si="70"/>
        <v>4.588274618330111E-4</v>
      </c>
      <c r="D70" s="449">
        <f>세입예산총괄표2!D56</f>
        <v>2000000</v>
      </c>
      <c r="E70" s="32">
        <f t="shared" si="71"/>
        <v>3.4333107707593846E-4</v>
      </c>
      <c r="F70" s="449">
        <f>B70-D70</f>
        <v>2000000</v>
      </c>
      <c r="G70" s="31">
        <f>F70/D70</f>
        <v>1</v>
      </c>
      <c r="H70" s="29" t="s">
        <v>952</v>
      </c>
      <c r="I70" s="449">
        <f>세출총괄표4!B70</f>
        <v>1480000</v>
      </c>
      <c r="J70" s="30">
        <f t="shared" si="78"/>
        <v>1.6976616087821411E-4</v>
      </c>
      <c r="K70" s="449">
        <f>세출총괄표4!D70</f>
        <v>1400000</v>
      </c>
      <c r="L70" s="30">
        <f t="shared" si="79"/>
        <v>2.4033175395315695E-4</v>
      </c>
      <c r="M70" s="449">
        <f t="shared" si="80"/>
        <v>80000</v>
      </c>
      <c r="N70" s="491">
        <f t="shared" si="81"/>
        <v>5.7142857142857141E-2</v>
      </c>
      <c r="O70" s="62"/>
      <c r="P70" s="62"/>
      <c r="Q70" s="62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</row>
    <row r="71" spans="1:167" s="5" customFormat="1" ht="21.95" customHeight="1">
      <c r="A71" s="490" t="s">
        <v>2168</v>
      </c>
      <c r="B71" s="449">
        <f>세입예산총괄표2!B57</f>
        <v>1200000</v>
      </c>
      <c r="C71" s="30">
        <f t="shared" si="70"/>
        <v>1.3764823854990334E-4</v>
      </c>
      <c r="D71" s="449">
        <f>세입예산총괄표2!D57</f>
        <v>3600000</v>
      </c>
      <c r="E71" s="32">
        <f t="shared" si="71"/>
        <v>6.1799593873668927E-4</v>
      </c>
      <c r="F71" s="449">
        <f t="shared" ref="F71:F74" si="82">B71-D71</f>
        <v>-2400000</v>
      </c>
      <c r="G71" s="31">
        <f t="shared" ref="G71:G74" si="83">F71/D71</f>
        <v>-0.66666666666666663</v>
      </c>
      <c r="H71" s="16" t="s">
        <v>1875</v>
      </c>
      <c r="I71" s="449">
        <f>세출총괄표4!B71</f>
        <v>94377000</v>
      </c>
      <c r="J71" s="30">
        <f t="shared" si="78"/>
        <v>1.0825689841353523E-2</v>
      </c>
      <c r="K71" s="449">
        <f>세출총괄표4!D71</f>
        <v>0</v>
      </c>
      <c r="L71" s="30">
        <f t="shared" si="79"/>
        <v>0</v>
      </c>
      <c r="M71" s="449">
        <f t="shared" si="80"/>
        <v>94377000</v>
      </c>
      <c r="N71" s="491">
        <v>1</v>
      </c>
      <c r="O71" s="62"/>
      <c r="P71" s="62"/>
      <c r="Q71" s="1792" t="s">
        <v>2590</v>
      </c>
      <c r="R71" s="1805">
        <f>SUM(R72:R78)</f>
        <v>0</v>
      </c>
      <c r="S71" s="1808">
        <f>SUM(S72:S78)</f>
        <v>0</v>
      </c>
      <c r="T71" s="1805">
        <f>SUM(T72:T78)</f>
        <v>0</v>
      </c>
      <c r="U71" s="1808">
        <f>SUM(U72:U78)</f>
        <v>0</v>
      </c>
      <c r="V71" s="1803">
        <f>R71-T71</f>
        <v>0</v>
      </c>
      <c r="W71" s="1804" t="e">
        <f>V71/T71</f>
        <v>#DIV/0!</v>
      </c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</row>
    <row r="72" spans="1:167" s="5" customFormat="1" ht="21.95" customHeight="1">
      <c r="A72" s="493" t="s">
        <v>2127</v>
      </c>
      <c r="B72" s="449">
        <f>세입예산총괄표2!B58</f>
        <v>3500000</v>
      </c>
      <c r="C72" s="30">
        <f t="shared" si="70"/>
        <v>4.0147402910388475E-4</v>
      </c>
      <c r="D72" s="449">
        <f>세입예산총괄표2!D58</f>
        <v>0</v>
      </c>
      <c r="E72" s="32">
        <f t="shared" si="71"/>
        <v>0</v>
      </c>
      <c r="F72" s="449">
        <f t="shared" si="82"/>
        <v>3500000</v>
      </c>
      <c r="G72" s="31">
        <v>1</v>
      </c>
      <c r="H72" s="29" t="s">
        <v>2246</v>
      </c>
      <c r="I72" s="449">
        <f>세출총괄표4!B72</f>
        <v>187530000</v>
      </c>
      <c r="J72" s="30">
        <f t="shared" si="78"/>
        <v>2.1510978479386145E-2</v>
      </c>
      <c r="K72" s="449">
        <f>세출총괄표4!D72</f>
        <v>155256000</v>
      </c>
      <c r="L72" s="30">
        <f t="shared" si="79"/>
        <v>2.6652104851250951E-2</v>
      </c>
      <c r="M72" s="449">
        <f t="shared" si="80"/>
        <v>32274000</v>
      </c>
      <c r="N72" s="491">
        <f t="shared" si="81"/>
        <v>0.20787602411501005</v>
      </c>
      <c r="O72" s="62"/>
      <c r="P72" s="62"/>
      <c r="Q72" s="1791" t="s">
        <v>2578</v>
      </c>
      <c r="R72" s="179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</row>
    <row r="73" spans="1:167" s="5" customFormat="1" ht="21.95" customHeight="1">
      <c r="A73" s="493" t="s">
        <v>80</v>
      </c>
      <c r="B73" s="449">
        <f>세입예산총괄표2!B59</f>
        <v>21200000</v>
      </c>
      <c r="C73" s="30">
        <f t="shared" si="70"/>
        <v>2.431785547714959E-3</v>
      </c>
      <c r="D73" s="449">
        <f>세입예산총괄표2!D59</f>
        <v>24500000</v>
      </c>
      <c r="E73" s="32">
        <f t="shared" si="71"/>
        <v>4.2058056941802462E-3</v>
      </c>
      <c r="F73" s="449">
        <f t="shared" si="82"/>
        <v>-3300000</v>
      </c>
      <c r="G73" s="31">
        <f t="shared" si="83"/>
        <v>-0.13469387755102041</v>
      </c>
      <c r="H73" s="29" t="s">
        <v>68</v>
      </c>
      <c r="I73" s="449">
        <f>세출총괄표4!B73</f>
        <v>0</v>
      </c>
      <c r="J73" s="30">
        <f t="shared" si="78"/>
        <v>0</v>
      </c>
      <c r="K73" s="449">
        <f>세출총괄표4!D73</f>
        <v>9400000</v>
      </c>
      <c r="L73" s="30">
        <f t="shared" si="79"/>
        <v>1.6136560622569108E-3</v>
      </c>
      <c r="M73" s="449">
        <f t="shared" si="80"/>
        <v>-9400000</v>
      </c>
      <c r="N73" s="491">
        <f t="shared" si="81"/>
        <v>-1</v>
      </c>
      <c r="O73" s="62"/>
      <c r="P73" s="62"/>
      <c r="Q73" s="1791" t="s">
        <v>2579</v>
      </c>
      <c r="R73" s="179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</row>
    <row r="74" spans="1:167" s="5" customFormat="1" ht="21.95" customHeight="1">
      <c r="A74" s="490" t="s">
        <v>2163</v>
      </c>
      <c r="B74" s="449">
        <f>세입예산총괄표2!B60</f>
        <v>360000</v>
      </c>
      <c r="C74" s="30">
        <f t="shared" si="70"/>
        <v>4.1294471564970999E-5</v>
      </c>
      <c r="D74" s="449">
        <f>세입예산총괄표2!D60</f>
        <v>360000</v>
      </c>
      <c r="E74" s="32">
        <f t="shared" si="71"/>
        <v>6.1799593873668933E-5</v>
      </c>
      <c r="F74" s="449">
        <f t="shared" si="82"/>
        <v>0</v>
      </c>
      <c r="G74" s="31">
        <f t="shared" si="83"/>
        <v>0</v>
      </c>
      <c r="H74" s="29" t="s">
        <v>2163</v>
      </c>
      <c r="I74" s="449">
        <f>세출총괄표4!B74</f>
        <v>22328000</v>
      </c>
      <c r="J74" s="30">
        <f t="shared" si="78"/>
        <v>2.5611748919518681E-3</v>
      </c>
      <c r="K74" s="449">
        <f>세출총괄표4!D74</f>
        <v>19620000</v>
      </c>
      <c r="L74" s="30">
        <f t="shared" si="79"/>
        <v>3.3680778661149564E-3</v>
      </c>
      <c r="M74" s="449">
        <f t="shared" si="80"/>
        <v>2708000</v>
      </c>
      <c r="N74" s="491">
        <f t="shared" si="81"/>
        <v>0.13802242609582061</v>
      </c>
      <c r="O74" s="62"/>
      <c r="P74" s="62"/>
      <c r="Q74" s="1791" t="s">
        <v>2580</v>
      </c>
      <c r="R74" s="179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</row>
    <row r="75" spans="1:167" s="5" customFormat="1" ht="21.95" customHeight="1">
      <c r="A75" s="492" t="s">
        <v>2177</v>
      </c>
      <c r="B75" s="442">
        <f>SUM(B76:B81)</f>
        <v>220002000</v>
      </c>
      <c r="C75" s="34">
        <f>B75/$B$7</f>
        <v>2.5235739814546528E-2</v>
      </c>
      <c r="D75" s="442">
        <f>SUM(D76:D81)</f>
        <v>143787000</v>
      </c>
      <c r="E75" s="27">
        <f>D75/$D$7</f>
        <v>2.4683272789758983E-2</v>
      </c>
      <c r="F75" s="442">
        <f>B75-D75</f>
        <v>76215000</v>
      </c>
      <c r="G75" s="35">
        <f>F75/D75</f>
        <v>0.53005487283273178</v>
      </c>
      <c r="H75" s="29" t="s">
        <v>2515</v>
      </c>
      <c r="I75" s="449">
        <f>세출총괄표4!B75</f>
        <v>8000000</v>
      </c>
      <c r="J75" s="30">
        <f t="shared" si="78"/>
        <v>9.176549236660222E-4</v>
      </c>
      <c r="K75" s="449">
        <f>세출총괄표4!D75</f>
        <v>11500000</v>
      </c>
      <c r="L75" s="30">
        <f t="shared" si="79"/>
        <v>1.9741536931866463E-3</v>
      </c>
      <c r="M75" s="449">
        <f t="shared" si="80"/>
        <v>-3500000</v>
      </c>
      <c r="N75" s="491">
        <f t="shared" si="81"/>
        <v>-0.30434782608695654</v>
      </c>
      <c r="O75" s="62"/>
      <c r="P75" s="62"/>
      <c r="Q75" s="1791" t="s">
        <v>2581</v>
      </c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</row>
    <row r="76" spans="1:167" s="5" customFormat="1" ht="21.95" customHeight="1">
      <c r="A76" s="490" t="s">
        <v>2165</v>
      </c>
      <c r="B76" s="449">
        <f>세입예산총괄표2!B62</f>
        <v>51000000</v>
      </c>
      <c r="C76" s="30">
        <f>B76/$B$7</f>
        <v>5.8500501383708919E-3</v>
      </c>
      <c r="D76" s="449">
        <f>세입예산총괄표2!D62</f>
        <v>45000000</v>
      </c>
      <c r="E76" s="32">
        <f>D76/$D$7</f>
        <v>7.7249492342086161E-3</v>
      </c>
      <c r="F76" s="449">
        <f>B76-D76</f>
        <v>6000000</v>
      </c>
      <c r="G76" s="31">
        <f>F76/D76</f>
        <v>0.13333333333333333</v>
      </c>
      <c r="H76" s="404" t="s">
        <v>2516</v>
      </c>
      <c r="I76" s="449">
        <f>세출총괄표4!B76</f>
        <v>2400000</v>
      </c>
      <c r="J76" s="30">
        <f t="shared" si="78"/>
        <v>2.7529647709980667E-4</v>
      </c>
      <c r="K76" s="449">
        <f>세출총괄표4!D76</f>
        <v>0</v>
      </c>
      <c r="L76" s="30">
        <f t="shared" si="79"/>
        <v>0</v>
      </c>
      <c r="M76" s="449">
        <f t="shared" si="80"/>
        <v>2400000</v>
      </c>
      <c r="N76" s="491">
        <v>1</v>
      </c>
      <c r="O76" s="62"/>
      <c r="P76" s="62"/>
      <c r="Q76" s="1791" t="s">
        <v>2582</v>
      </c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</row>
    <row r="77" spans="1:167" s="5" customFormat="1" ht="21.95" customHeight="1">
      <c r="A77" s="493" t="s">
        <v>2127</v>
      </c>
      <c r="B77" s="450">
        <f>세입예산총괄표2!B63</f>
        <v>42500000</v>
      </c>
      <c r="C77" s="32">
        <f>B77/$B$7</f>
        <v>4.8750417819757429E-3</v>
      </c>
      <c r="D77" s="450">
        <f>세입예산총괄표2!D63</f>
        <v>0</v>
      </c>
      <c r="E77" s="32">
        <f>D77/$D$7</f>
        <v>0</v>
      </c>
      <c r="F77" s="450">
        <f>B77-D77</f>
        <v>42500000</v>
      </c>
      <c r="G77" s="58">
        <v>1</v>
      </c>
      <c r="H77" s="33" t="s">
        <v>73</v>
      </c>
      <c r="I77" s="442">
        <f>SUM(I78:I82)</f>
        <v>1590274000</v>
      </c>
      <c r="J77" s="9">
        <f>I77/$I$7</f>
        <v>0.18241534575975749</v>
      </c>
      <c r="K77" s="442">
        <f>SUM(K78:K82)</f>
        <v>827450000</v>
      </c>
      <c r="L77" s="9">
        <f>K77/$K$7</f>
        <v>0.14204464986324264</v>
      </c>
      <c r="M77" s="448">
        <f t="shared" ref="M77:M85" si="84">I77-K77</f>
        <v>762824000</v>
      </c>
      <c r="N77" s="489">
        <f>M77/K77</f>
        <v>0.92189739561302797</v>
      </c>
      <c r="O77" s="62"/>
      <c r="P77" s="62"/>
      <c r="Q77" s="1806" t="s">
        <v>2583</v>
      </c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</row>
    <row r="78" spans="1:167" s="5" customFormat="1" ht="21.95" customHeight="1">
      <c r="A78" s="493" t="s">
        <v>2169</v>
      </c>
      <c r="B78" s="450">
        <f>세입예산총괄표2!B64</f>
        <v>75462000</v>
      </c>
      <c r="C78" s="32">
        <f t="shared" ref="C78:C81" si="85">B78/$B$7</f>
        <v>8.6560094812106712E-3</v>
      </c>
      <c r="D78" s="450">
        <f>세입예산총괄표2!D64</f>
        <v>52787000</v>
      </c>
      <c r="E78" s="32">
        <f t="shared" ref="E78:E81" si="86">D78/$D$7</f>
        <v>9.0617087828037818E-3</v>
      </c>
      <c r="F78" s="450">
        <f t="shared" ref="F78:F81" si="87">B78-D78</f>
        <v>22675000</v>
      </c>
      <c r="G78" s="18">
        <f t="shared" ref="G78:G80" si="88">F78/D78</f>
        <v>0.42955651959762819</v>
      </c>
      <c r="H78" s="29" t="s">
        <v>2165</v>
      </c>
      <c r="I78" s="449">
        <f>세출총괄표4!B78</f>
        <v>431350000</v>
      </c>
      <c r="J78" s="30">
        <f>I78/$I$7</f>
        <v>4.947880641541734E-2</v>
      </c>
      <c r="K78" s="449">
        <f>세출총괄표4!D78</f>
        <v>421960000</v>
      </c>
      <c r="L78" s="32">
        <f>K78/$K$7</f>
        <v>7.2435990641481499E-2</v>
      </c>
      <c r="M78" s="449">
        <f t="shared" si="84"/>
        <v>9390000</v>
      </c>
      <c r="N78" s="491">
        <f>M78/K78</f>
        <v>2.2253294151104368E-2</v>
      </c>
      <c r="O78" s="62"/>
      <c r="P78" s="62"/>
      <c r="Q78" s="62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</row>
    <row r="79" spans="1:167" s="5" customFormat="1" ht="21.95" customHeight="1">
      <c r="A79" s="490" t="s">
        <v>2163</v>
      </c>
      <c r="B79" s="450">
        <f>세입예산총괄표2!B65</f>
        <v>32640000</v>
      </c>
      <c r="C79" s="32">
        <f t="shared" si="85"/>
        <v>3.7440320885573706E-3</v>
      </c>
      <c r="D79" s="450">
        <f>세입예산총괄표2!D65</f>
        <v>30000000</v>
      </c>
      <c r="E79" s="32">
        <f t="shared" si="86"/>
        <v>5.1499661561390771E-3</v>
      </c>
      <c r="F79" s="450">
        <f t="shared" si="87"/>
        <v>2640000</v>
      </c>
      <c r="G79" s="18">
        <f t="shared" si="88"/>
        <v>8.7999999999999995E-2</v>
      </c>
      <c r="H79" s="16" t="s">
        <v>1875</v>
      </c>
      <c r="I79" s="458">
        <f>세출총괄표4!B79</f>
        <v>413766000</v>
      </c>
      <c r="J79" s="64">
        <f>I79/$I$7</f>
        <v>4.7461800893199423E-2</v>
      </c>
      <c r="K79" s="458">
        <f>세출총괄표4!D79</f>
        <v>0</v>
      </c>
      <c r="L79" s="64">
        <f>K79/$K$7</f>
        <v>0</v>
      </c>
      <c r="M79" s="458">
        <f t="shared" si="84"/>
        <v>413766000</v>
      </c>
      <c r="N79" s="491">
        <v>1</v>
      </c>
      <c r="O79" s="62"/>
      <c r="P79" s="62"/>
      <c r="Q79" s="62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</row>
    <row r="80" spans="1:167" s="5" customFormat="1" ht="21.95" customHeight="1">
      <c r="A80" s="490" t="s">
        <v>2515</v>
      </c>
      <c r="B80" s="450">
        <f>세입예산총괄표2!B66</f>
        <v>16000000</v>
      </c>
      <c r="C80" s="32">
        <f t="shared" si="85"/>
        <v>1.8353098473320444E-3</v>
      </c>
      <c r="D80" s="450">
        <f>세입예산총괄표2!D66</f>
        <v>16000000</v>
      </c>
      <c r="E80" s="32">
        <f t="shared" si="86"/>
        <v>2.7466486166075076E-3</v>
      </c>
      <c r="F80" s="450">
        <f t="shared" si="87"/>
        <v>0</v>
      </c>
      <c r="G80" s="18">
        <f t="shared" si="88"/>
        <v>0</v>
      </c>
      <c r="H80" s="16" t="s">
        <v>2168</v>
      </c>
      <c r="I80" s="458">
        <f>세출총괄표4!B80</f>
        <v>85700000</v>
      </c>
      <c r="J80" s="64">
        <f t="shared" ref="J80:J82" si="89">I80/$I$7</f>
        <v>9.8303783697722639E-3</v>
      </c>
      <c r="K80" s="458">
        <f>세출총괄표4!D80</f>
        <v>73606000</v>
      </c>
      <c r="L80" s="64">
        <f t="shared" ref="L80:L82" si="90">K80/$K$7</f>
        <v>1.2635613629625763E-2</v>
      </c>
      <c r="M80" s="449">
        <f t="shared" si="84"/>
        <v>12094000</v>
      </c>
      <c r="N80" s="491">
        <f>M80/K80</f>
        <v>0.16430725756052494</v>
      </c>
      <c r="O80" s="62"/>
      <c r="P80" s="62"/>
      <c r="Q80" s="62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</row>
    <row r="81" spans="1:167" s="5" customFormat="1" ht="21.95" customHeight="1">
      <c r="A81" s="496" t="s">
        <v>2516</v>
      </c>
      <c r="B81" s="450">
        <f>세입예산총괄표2!B67</f>
        <v>2400000</v>
      </c>
      <c r="C81" s="32">
        <f t="shared" si="85"/>
        <v>2.7529647709980667E-4</v>
      </c>
      <c r="D81" s="450">
        <f>세입예산총괄표2!D67</f>
        <v>0</v>
      </c>
      <c r="E81" s="32">
        <f t="shared" si="86"/>
        <v>0</v>
      </c>
      <c r="F81" s="450">
        <f t="shared" si="87"/>
        <v>2400000</v>
      </c>
      <c r="G81" s="58">
        <v>1</v>
      </c>
      <c r="H81" s="38" t="s">
        <v>80</v>
      </c>
      <c r="I81" s="458">
        <f>세출총괄표4!B81</f>
        <v>639298000</v>
      </c>
      <c r="J81" s="64">
        <f t="shared" si="89"/>
        <v>7.333186967373008E-2</v>
      </c>
      <c r="K81" s="458">
        <f>세출총괄표4!D81</f>
        <v>320844000</v>
      </c>
      <c r="L81" s="64">
        <f t="shared" si="90"/>
        <v>5.5077858046676205E-2</v>
      </c>
      <c r="M81" s="450">
        <f t="shared" si="84"/>
        <v>318454000</v>
      </c>
      <c r="N81" s="494">
        <f>M81/K81</f>
        <v>0.99255089700913834</v>
      </c>
      <c r="O81" s="62"/>
      <c r="P81" s="62"/>
      <c r="Q81" s="62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</row>
    <row r="82" spans="1:167" s="5" customFormat="1" ht="21.95" customHeight="1">
      <c r="A82" s="492" t="s">
        <v>2178</v>
      </c>
      <c r="B82" s="442">
        <f>SUM(B83:B88)</f>
        <v>107010000</v>
      </c>
      <c r="C82" s="34">
        <f t="shared" ref="C82:C90" si="91">B82/$B$7</f>
        <v>1.227478167268763E-2</v>
      </c>
      <c r="D82" s="442">
        <f>SUM(D83:D88)</f>
        <v>107621000</v>
      </c>
      <c r="E82" s="27">
        <f>D82/$D$7</f>
        <v>1.8474816922994786E-2</v>
      </c>
      <c r="F82" s="442">
        <f t="shared" ref="F82:F90" si="92">B82-D82</f>
        <v>-611000</v>
      </c>
      <c r="G82" s="35">
        <f>F82/D82</f>
        <v>-5.6773306324973752E-3</v>
      </c>
      <c r="H82" s="29" t="s">
        <v>68</v>
      </c>
      <c r="I82" s="458">
        <f>세출총괄표4!B82</f>
        <v>20160000</v>
      </c>
      <c r="J82" s="64">
        <f t="shared" si="89"/>
        <v>2.3124904076383761E-3</v>
      </c>
      <c r="K82" s="458">
        <f>세출총괄표4!D82</f>
        <v>11040000</v>
      </c>
      <c r="L82" s="64">
        <f t="shared" si="90"/>
        <v>1.8951875454591804E-3</v>
      </c>
      <c r="M82" s="449">
        <f t="shared" si="84"/>
        <v>9120000</v>
      </c>
      <c r="N82" s="491">
        <f>M82/K82</f>
        <v>0.82608695652173914</v>
      </c>
      <c r="O82" s="62"/>
      <c r="P82" s="62"/>
      <c r="Q82" s="62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</row>
    <row r="83" spans="1:167" s="5" customFormat="1" ht="21.95" customHeight="1">
      <c r="A83" s="490" t="s">
        <v>2165</v>
      </c>
      <c r="B83" s="449">
        <f>세입예산총괄표2!B69</f>
        <v>75000000</v>
      </c>
      <c r="C83" s="30">
        <f t="shared" si="91"/>
        <v>8.6030149093689577E-3</v>
      </c>
      <c r="D83" s="449">
        <f>세입예산총괄표2!D69</f>
        <v>79500000</v>
      </c>
      <c r="E83" s="32">
        <f>D83/$D$7</f>
        <v>1.3647410313768555E-2</v>
      </c>
      <c r="F83" s="449">
        <f t="shared" si="92"/>
        <v>-4500000</v>
      </c>
      <c r="G83" s="31">
        <f>F83/D83</f>
        <v>-5.6603773584905662E-2</v>
      </c>
      <c r="H83" s="33" t="s">
        <v>1405</v>
      </c>
      <c r="I83" s="442">
        <f>SUM(I84:I95)</f>
        <v>85154000</v>
      </c>
      <c r="J83" s="9">
        <f>I83/$I$7</f>
        <v>9.7677484212320576E-3</v>
      </c>
      <c r="K83" s="442">
        <f>SUM(K84:K95)</f>
        <v>0</v>
      </c>
      <c r="L83" s="9">
        <f>K83/$K$7</f>
        <v>0</v>
      </c>
      <c r="M83" s="448">
        <f t="shared" si="84"/>
        <v>85154000</v>
      </c>
      <c r="N83" s="489">
        <v>1</v>
      </c>
      <c r="O83" s="62"/>
      <c r="P83" s="62"/>
      <c r="Q83" s="62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</row>
    <row r="84" spans="1:167" s="5" customFormat="1" ht="21.95" customHeight="1">
      <c r="A84" s="541" t="s">
        <v>2167</v>
      </c>
      <c r="B84" s="1770">
        <f>세입예산총괄표2!B70</f>
        <v>14000000</v>
      </c>
      <c r="C84" s="1771">
        <f t="shared" si="91"/>
        <v>1.605896116415539E-3</v>
      </c>
      <c r="D84" s="1770">
        <f>세입예산총괄표2!D70</f>
        <v>11721000</v>
      </c>
      <c r="E84" s="1772">
        <f>D84/$D$7</f>
        <v>2.0120917772035373E-3</v>
      </c>
      <c r="F84" s="1770">
        <f t="shared" si="92"/>
        <v>2279000</v>
      </c>
      <c r="G84" s="1773">
        <f>F84/D84</f>
        <v>0.19443733469840457</v>
      </c>
      <c r="H84" s="1774" t="s">
        <v>2244</v>
      </c>
      <c r="I84" s="1770">
        <f>세출총괄표4!B84</f>
        <v>720000</v>
      </c>
      <c r="J84" s="1771">
        <f>I84/$I$7</f>
        <v>8.2588943129941999E-5</v>
      </c>
      <c r="K84" s="1770">
        <f>세출총괄표4!D84</f>
        <v>0</v>
      </c>
      <c r="L84" s="1772">
        <f>K84/$K$7</f>
        <v>0</v>
      </c>
      <c r="M84" s="1770">
        <f t="shared" si="84"/>
        <v>720000</v>
      </c>
      <c r="N84" s="1775">
        <v>1</v>
      </c>
      <c r="O84" s="62"/>
      <c r="P84" s="62"/>
      <c r="Q84" s="62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</row>
    <row r="85" spans="1:167" s="5" customFormat="1" ht="21.95" customHeight="1">
      <c r="A85" s="493" t="s">
        <v>2168</v>
      </c>
      <c r="B85" s="450">
        <f>세입예산총괄표2!B71</f>
        <v>18000000</v>
      </c>
      <c r="C85" s="32">
        <f t="shared" si="91"/>
        <v>2.0647235782485503E-3</v>
      </c>
      <c r="D85" s="450">
        <f>세입예산총괄표2!D71</f>
        <v>15000000</v>
      </c>
      <c r="E85" s="32">
        <f>D85/$D$7</f>
        <v>2.5749830780695386E-3</v>
      </c>
      <c r="F85" s="450">
        <f t="shared" si="92"/>
        <v>3000000</v>
      </c>
      <c r="G85" s="39">
        <f>F85/D85</f>
        <v>0.2</v>
      </c>
      <c r="H85" s="13" t="s">
        <v>2245</v>
      </c>
      <c r="I85" s="450">
        <f>세출총괄표4!B85</f>
        <v>42243000</v>
      </c>
      <c r="J85" s="32">
        <f>I85/$I$7</f>
        <v>4.845562117552972E-3</v>
      </c>
      <c r="K85" s="450">
        <f>세출총괄표4!D85</f>
        <v>0</v>
      </c>
      <c r="L85" s="32">
        <f>K85/$K$7</f>
        <v>0</v>
      </c>
      <c r="M85" s="450">
        <f t="shared" si="84"/>
        <v>42243000</v>
      </c>
      <c r="N85" s="494">
        <v>1</v>
      </c>
      <c r="O85" s="62"/>
      <c r="P85" s="62"/>
      <c r="Q85" s="62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</row>
    <row r="86" spans="1:167" s="5" customFormat="1" ht="21.95" customHeight="1">
      <c r="A86" s="490" t="s">
        <v>2141</v>
      </c>
      <c r="B86" s="449">
        <f>세입예산총괄표2!B72</f>
        <v>10000</v>
      </c>
      <c r="C86" s="30">
        <f t="shared" si="91"/>
        <v>1.1470686545825279E-6</v>
      </c>
      <c r="D86" s="449">
        <f>세입예산총괄표2!D72</f>
        <v>1400000</v>
      </c>
      <c r="E86" s="32">
        <f>D86/$D$7</f>
        <v>2.4033175395315695E-4</v>
      </c>
      <c r="F86" s="449">
        <f t="shared" si="92"/>
        <v>-1390000</v>
      </c>
      <c r="G86" s="31">
        <f>F86/D86</f>
        <v>-0.99285714285714288</v>
      </c>
      <c r="H86" s="16" t="s">
        <v>63</v>
      </c>
      <c r="I86" s="450">
        <f>세출총괄표4!B86</f>
        <v>240000</v>
      </c>
      <c r="J86" s="32">
        <f t="shared" ref="J86:J95" si="93">I86/$I$7</f>
        <v>2.7529647709980668E-5</v>
      </c>
      <c r="K86" s="450">
        <f>세출총괄표4!D86</f>
        <v>0</v>
      </c>
      <c r="L86" s="32">
        <f t="shared" ref="L86:L95" si="94">K86/$K$7</f>
        <v>0</v>
      </c>
      <c r="M86" s="450">
        <f t="shared" ref="M86:M95" si="95">I86-K86</f>
        <v>240000</v>
      </c>
      <c r="N86" s="494">
        <v>1</v>
      </c>
      <c r="O86" s="62"/>
      <c r="P86" s="62"/>
      <c r="Q86" s="62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</row>
    <row r="87" spans="1:167" s="5" customFormat="1" ht="21.95" customHeight="1">
      <c r="A87" s="490" t="s">
        <v>2127</v>
      </c>
      <c r="B87" s="449">
        <f>세입예산총괄표2!B73</f>
        <v>0</v>
      </c>
      <c r="C87" s="30">
        <f t="shared" si="91"/>
        <v>0</v>
      </c>
      <c r="D87" s="449">
        <f>세입예산총괄표2!D73</f>
        <v>0</v>
      </c>
      <c r="E87" s="32">
        <f t="shared" ref="E87:E88" si="96">D87/$D$7</f>
        <v>0</v>
      </c>
      <c r="F87" s="449">
        <f t="shared" si="92"/>
        <v>0</v>
      </c>
      <c r="G87" s="31">
        <v>0</v>
      </c>
      <c r="H87" s="16" t="s">
        <v>2167</v>
      </c>
      <c r="I87" s="450">
        <f>세출총괄표4!B87</f>
        <v>10000000</v>
      </c>
      <c r="J87" s="32">
        <f t="shared" si="93"/>
        <v>1.1470686545825277E-3</v>
      </c>
      <c r="K87" s="450">
        <f>세출총괄표4!D87</f>
        <v>0</v>
      </c>
      <c r="L87" s="32">
        <f t="shared" si="94"/>
        <v>0</v>
      </c>
      <c r="M87" s="450">
        <f t="shared" si="95"/>
        <v>10000000</v>
      </c>
      <c r="N87" s="494">
        <v>1</v>
      </c>
      <c r="O87" s="62"/>
      <c r="P87" s="62"/>
      <c r="Q87" s="62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</row>
    <row r="88" spans="1:167" s="5" customFormat="1" ht="21.95" customHeight="1">
      <c r="A88" s="490" t="s">
        <v>2169</v>
      </c>
      <c r="B88" s="449">
        <f>세입예산총괄표2!B74</f>
        <v>0</v>
      </c>
      <c r="C88" s="30">
        <f t="shared" si="91"/>
        <v>0</v>
      </c>
      <c r="D88" s="449">
        <f>세입예산총괄표2!D74</f>
        <v>0</v>
      </c>
      <c r="E88" s="32">
        <f t="shared" si="96"/>
        <v>0</v>
      </c>
      <c r="F88" s="449">
        <f t="shared" si="92"/>
        <v>0</v>
      </c>
      <c r="G88" s="31">
        <v>0</v>
      </c>
      <c r="H88" s="16" t="s">
        <v>2247</v>
      </c>
      <c r="I88" s="450">
        <f>세출총괄표4!B88</f>
        <v>1000000</v>
      </c>
      <c r="J88" s="32">
        <f t="shared" si="93"/>
        <v>1.1470686545825278E-4</v>
      </c>
      <c r="K88" s="450">
        <f>세출총괄표4!D88</f>
        <v>0</v>
      </c>
      <c r="L88" s="32">
        <f t="shared" si="94"/>
        <v>0</v>
      </c>
      <c r="M88" s="450">
        <f t="shared" si="95"/>
        <v>1000000</v>
      </c>
      <c r="N88" s="494">
        <v>1</v>
      </c>
      <c r="O88" s="62"/>
      <c r="P88" s="62"/>
      <c r="Q88" s="62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</row>
    <row r="89" spans="1:167" s="5" customFormat="1" ht="21.95" customHeight="1">
      <c r="A89" s="492" t="s">
        <v>2179</v>
      </c>
      <c r="B89" s="442">
        <f>SUM(B90)</f>
        <v>50000000</v>
      </c>
      <c r="C89" s="34">
        <f t="shared" si="91"/>
        <v>5.7353432729126391E-3</v>
      </c>
      <c r="D89" s="442">
        <f>SUM(D90)</f>
        <v>50000000</v>
      </c>
      <c r="E89" s="27">
        <f>D89/$D$7</f>
        <v>8.5832769268984616E-3</v>
      </c>
      <c r="F89" s="442">
        <f t="shared" si="92"/>
        <v>0</v>
      </c>
      <c r="G89" s="35">
        <f>F89/D89</f>
        <v>0</v>
      </c>
      <c r="H89" s="16" t="s">
        <v>2248</v>
      </c>
      <c r="I89" s="450">
        <f>세출총괄표4!B89</f>
        <v>20000</v>
      </c>
      <c r="J89" s="32">
        <f t="shared" si="93"/>
        <v>2.2941373091650557E-6</v>
      </c>
      <c r="K89" s="450">
        <f>세출총괄표4!D89</f>
        <v>0</v>
      </c>
      <c r="L89" s="32">
        <f t="shared" si="94"/>
        <v>0</v>
      </c>
      <c r="M89" s="450">
        <f t="shared" si="95"/>
        <v>20000</v>
      </c>
      <c r="N89" s="494">
        <v>1</v>
      </c>
      <c r="O89" s="62"/>
      <c r="P89" s="62"/>
      <c r="Q89" s="62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</row>
    <row r="90" spans="1:167" s="5" customFormat="1" ht="21.95" customHeight="1">
      <c r="A90" s="541" t="s">
        <v>2169</v>
      </c>
      <c r="B90" s="451">
        <f>세입예산총괄표2!B76</f>
        <v>50000000</v>
      </c>
      <c r="C90" s="41">
        <f t="shared" si="91"/>
        <v>5.7353432729126391E-3</v>
      </c>
      <c r="D90" s="451">
        <f>세입예산총괄표2!D76</f>
        <v>50000000</v>
      </c>
      <c r="E90" s="41">
        <f>D90/$D$7</f>
        <v>8.5832769268984616E-3</v>
      </c>
      <c r="F90" s="451">
        <f t="shared" si="92"/>
        <v>0</v>
      </c>
      <c r="G90" s="42">
        <f>F90/D90</f>
        <v>0</v>
      </c>
      <c r="H90" s="16" t="s">
        <v>2161</v>
      </c>
      <c r="I90" s="450">
        <f>세출총괄표4!B90</f>
        <v>0</v>
      </c>
      <c r="J90" s="32">
        <f t="shared" si="93"/>
        <v>0</v>
      </c>
      <c r="K90" s="450">
        <f>세출총괄표4!D90</f>
        <v>0</v>
      </c>
      <c r="L90" s="32">
        <f t="shared" si="94"/>
        <v>0</v>
      </c>
      <c r="M90" s="450">
        <f t="shared" si="95"/>
        <v>0</v>
      </c>
      <c r="N90" s="494">
        <v>1</v>
      </c>
      <c r="O90" s="62"/>
      <c r="P90" s="62"/>
      <c r="Q90" s="62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</row>
    <row r="91" spans="1:167" s="5" customFormat="1" ht="21.95" customHeight="1">
      <c r="A91" s="493"/>
      <c r="B91" s="450"/>
      <c r="C91" s="32"/>
      <c r="D91" s="450"/>
      <c r="E91" s="32"/>
      <c r="F91" s="450"/>
      <c r="G91" s="39"/>
      <c r="H91" s="16" t="s">
        <v>2169</v>
      </c>
      <c r="I91" s="450">
        <f>세출총괄표4!B91</f>
        <v>30874000</v>
      </c>
      <c r="J91" s="32">
        <f t="shared" si="93"/>
        <v>3.5414597641580964E-3</v>
      </c>
      <c r="K91" s="450">
        <f>세출총괄표4!D91</f>
        <v>0</v>
      </c>
      <c r="L91" s="32">
        <f t="shared" si="94"/>
        <v>0</v>
      </c>
      <c r="M91" s="450">
        <f t="shared" si="95"/>
        <v>30874000</v>
      </c>
      <c r="N91" s="494">
        <v>1</v>
      </c>
      <c r="O91" s="62"/>
      <c r="P91" s="62"/>
      <c r="Q91" s="62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</row>
    <row r="92" spans="1:167" s="5" customFormat="1" ht="21.95" customHeight="1">
      <c r="A92" s="490"/>
      <c r="B92" s="449"/>
      <c r="C92" s="30"/>
      <c r="D92" s="449"/>
      <c r="E92" s="30"/>
      <c r="F92" s="449"/>
      <c r="G92" s="31"/>
      <c r="H92" s="16" t="s">
        <v>2162</v>
      </c>
      <c r="I92" s="450">
        <f>세출총괄표4!B92</f>
        <v>24000</v>
      </c>
      <c r="J92" s="32">
        <f t="shared" si="93"/>
        <v>2.7529647709980666E-6</v>
      </c>
      <c r="K92" s="450">
        <f>세출총괄표4!D92</f>
        <v>0</v>
      </c>
      <c r="L92" s="32">
        <f t="shared" si="94"/>
        <v>0</v>
      </c>
      <c r="M92" s="450">
        <f t="shared" si="95"/>
        <v>24000</v>
      </c>
      <c r="N92" s="494">
        <v>1</v>
      </c>
      <c r="O92" s="62"/>
      <c r="P92" s="62"/>
      <c r="Q92" s="62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</row>
    <row r="93" spans="1:167" s="5" customFormat="1" ht="21.95" customHeight="1">
      <c r="A93" s="490"/>
      <c r="B93" s="449"/>
      <c r="C93" s="30"/>
      <c r="D93" s="449"/>
      <c r="E93" s="30"/>
      <c r="F93" s="449"/>
      <c r="G93" s="31"/>
      <c r="H93" s="16" t="s">
        <v>28</v>
      </c>
      <c r="I93" s="450">
        <f>세출총괄표4!B93</f>
        <v>13000</v>
      </c>
      <c r="J93" s="32">
        <f t="shared" si="93"/>
        <v>1.4911892509572861E-6</v>
      </c>
      <c r="K93" s="450">
        <f>세출총괄표4!D93</f>
        <v>0</v>
      </c>
      <c r="L93" s="32">
        <f t="shared" si="94"/>
        <v>0</v>
      </c>
      <c r="M93" s="450">
        <f t="shared" si="95"/>
        <v>13000</v>
      </c>
      <c r="N93" s="494">
        <v>1</v>
      </c>
      <c r="O93" s="62"/>
      <c r="P93" s="62"/>
      <c r="Q93" s="62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</row>
    <row r="94" spans="1:167" s="5" customFormat="1" ht="21.95" customHeight="1">
      <c r="A94" s="490"/>
      <c r="B94" s="449"/>
      <c r="C94" s="30"/>
      <c r="D94" s="449"/>
      <c r="E94" s="30"/>
      <c r="F94" s="449"/>
      <c r="G94" s="31"/>
      <c r="H94" s="16" t="s">
        <v>2515</v>
      </c>
      <c r="I94" s="450">
        <f>세출총괄표4!B94</f>
        <v>14000</v>
      </c>
      <c r="J94" s="32">
        <f t="shared" si="93"/>
        <v>1.605896116415539E-6</v>
      </c>
      <c r="K94" s="450">
        <f>세출총괄표4!D94</f>
        <v>0</v>
      </c>
      <c r="L94" s="32">
        <f t="shared" si="94"/>
        <v>0</v>
      </c>
      <c r="M94" s="450">
        <f t="shared" si="95"/>
        <v>14000</v>
      </c>
      <c r="N94" s="494">
        <v>1</v>
      </c>
      <c r="O94" s="62"/>
      <c r="P94" s="62"/>
      <c r="Q94" s="62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</row>
    <row r="95" spans="1:167" s="5" customFormat="1" ht="21.95" customHeight="1">
      <c r="A95" s="490"/>
      <c r="B95" s="449"/>
      <c r="C95" s="30"/>
      <c r="D95" s="449"/>
      <c r="E95" s="30"/>
      <c r="F95" s="449"/>
      <c r="G95" s="31"/>
      <c r="H95" s="54" t="s">
        <v>2516</v>
      </c>
      <c r="I95" s="450">
        <f>세출총괄표4!B95</f>
        <v>6000</v>
      </c>
      <c r="J95" s="32">
        <f t="shared" si="93"/>
        <v>6.8824119274951665E-7</v>
      </c>
      <c r="K95" s="450">
        <f>세출총괄표4!D95</f>
        <v>0</v>
      </c>
      <c r="L95" s="32">
        <f t="shared" si="94"/>
        <v>0</v>
      </c>
      <c r="M95" s="450">
        <f t="shared" si="95"/>
        <v>6000</v>
      </c>
      <c r="N95" s="494">
        <v>1</v>
      </c>
      <c r="O95" s="62"/>
      <c r="P95" s="62"/>
      <c r="Q95" s="62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</row>
    <row r="96" spans="1:167" s="5" customFormat="1" ht="21.95" customHeight="1">
      <c r="A96" s="490"/>
      <c r="B96" s="449"/>
      <c r="C96" s="30"/>
      <c r="D96" s="449"/>
      <c r="E96" s="30"/>
      <c r="F96" s="449"/>
      <c r="G96" s="31"/>
      <c r="H96" s="33" t="s">
        <v>62</v>
      </c>
      <c r="I96" s="442">
        <f>SUM(I97:I100)</f>
        <v>0</v>
      </c>
      <c r="J96" s="9">
        <f>I96/$I$7</f>
        <v>0</v>
      </c>
      <c r="K96" s="442">
        <f>SUM(K97:K100)</f>
        <v>58110000</v>
      </c>
      <c r="L96" s="9">
        <f>K96/$K$7</f>
        <v>9.9754844444413932E-3</v>
      </c>
      <c r="M96" s="448">
        <f>I96-K96</f>
        <v>-58110000</v>
      </c>
      <c r="N96" s="489">
        <f>M96/K96</f>
        <v>-1</v>
      </c>
      <c r="O96" s="62"/>
      <c r="P96" s="62"/>
      <c r="Q96" s="62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</row>
    <row r="97" spans="1:167" s="5" customFormat="1" ht="21.95" customHeight="1">
      <c r="A97" s="542"/>
      <c r="B97" s="471"/>
      <c r="C97" s="472"/>
      <c r="D97" s="471"/>
      <c r="E97" s="472"/>
      <c r="F97" s="471"/>
      <c r="G97" s="473"/>
      <c r="H97" s="29" t="s">
        <v>2165</v>
      </c>
      <c r="I97" s="449">
        <f>세출총괄표4!B97</f>
        <v>0</v>
      </c>
      <c r="J97" s="30">
        <f>I97/$I$7</f>
        <v>0</v>
      </c>
      <c r="K97" s="449">
        <f>세출총괄표4!D97</f>
        <v>43000000</v>
      </c>
      <c r="L97" s="32">
        <f>K97/$K$7</f>
        <v>7.381618157132677E-3</v>
      </c>
      <c r="M97" s="449">
        <f>I97-K97</f>
        <v>-43000000</v>
      </c>
      <c r="N97" s="491">
        <f>M97/K97</f>
        <v>-1</v>
      </c>
      <c r="O97" s="62"/>
      <c r="P97" s="62"/>
      <c r="Q97" s="62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</row>
    <row r="98" spans="1:167" s="5" customFormat="1" ht="21.95" customHeight="1">
      <c r="A98" s="490"/>
      <c r="B98" s="449"/>
      <c r="C98" s="30"/>
      <c r="D98" s="449"/>
      <c r="E98" s="30"/>
      <c r="F98" s="449"/>
      <c r="G98" s="31"/>
      <c r="H98" s="29" t="s">
        <v>71</v>
      </c>
      <c r="I98" s="449">
        <f>세출총괄표4!B98</f>
        <v>0</v>
      </c>
      <c r="J98" s="30">
        <f>I98/$I$7</f>
        <v>0</v>
      </c>
      <c r="K98" s="449">
        <f>세출총괄표4!D98</f>
        <v>12100000</v>
      </c>
      <c r="L98" s="32">
        <f>K98/$K$7</f>
        <v>2.0771530163094278E-3</v>
      </c>
      <c r="M98" s="449">
        <f>I98-K98</f>
        <v>-12100000</v>
      </c>
      <c r="N98" s="491">
        <f>M98/K98</f>
        <v>-1</v>
      </c>
      <c r="O98" s="62"/>
      <c r="P98" s="62"/>
      <c r="Q98" s="62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</row>
    <row r="99" spans="1:167" s="5" customFormat="1" ht="21.95" customHeight="1">
      <c r="A99" s="490"/>
      <c r="B99" s="449"/>
      <c r="C99" s="30"/>
      <c r="D99" s="449"/>
      <c r="E99" s="30"/>
      <c r="F99" s="449"/>
      <c r="G99" s="31"/>
      <c r="H99" s="16" t="s">
        <v>74</v>
      </c>
      <c r="I99" s="449">
        <f>세출총괄표4!B99</f>
        <v>0</v>
      </c>
      <c r="J99" s="30">
        <f t="shared" ref="J99:J100" si="97">I99/$I$7</f>
        <v>0</v>
      </c>
      <c r="K99" s="449">
        <f>세출총괄표4!D99</f>
        <v>1000000</v>
      </c>
      <c r="L99" s="32">
        <f t="shared" ref="L99:L100" si="98">K99/$K$7</f>
        <v>1.7166553853796923E-4</v>
      </c>
      <c r="M99" s="449">
        <f t="shared" ref="M99:M100" si="99">I99-K99</f>
        <v>-1000000</v>
      </c>
      <c r="N99" s="491">
        <f t="shared" ref="N99:N100" si="100">M99/K99</f>
        <v>-1</v>
      </c>
      <c r="O99" s="62"/>
      <c r="P99" s="62"/>
      <c r="Q99" s="62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</row>
    <row r="100" spans="1:167" s="5" customFormat="1" ht="21.95" customHeight="1" thickBot="1">
      <c r="A100" s="497"/>
      <c r="B100" s="531"/>
      <c r="C100" s="532"/>
      <c r="D100" s="531"/>
      <c r="E100" s="532"/>
      <c r="F100" s="531"/>
      <c r="G100" s="540"/>
      <c r="H100" s="535" t="s">
        <v>2141</v>
      </c>
      <c r="I100" s="531">
        <f>세출총괄표4!B100</f>
        <v>0</v>
      </c>
      <c r="J100" s="532">
        <f t="shared" si="97"/>
        <v>0</v>
      </c>
      <c r="K100" s="531">
        <f>세출총괄표4!D100</f>
        <v>2010000</v>
      </c>
      <c r="L100" s="529">
        <f t="shared" si="98"/>
        <v>3.4504773246131818E-4</v>
      </c>
      <c r="M100" s="531">
        <f t="shared" si="99"/>
        <v>-2010000</v>
      </c>
      <c r="N100" s="533">
        <f t="shared" si="100"/>
        <v>-1</v>
      </c>
      <c r="O100" s="62"/>
      <c r="P100" s="62"/>
      <c r="Q100" s="62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</row>
    <row r="101" spans="1:167" s="40" customFormat="1" ht="15.75">
      <c r="A101" s="43"/>
      <c r="B101" s="48"/>
      <c r="C101" s="44"/>
      <c r="D101" s="48"/>
      <c r="E101" s="44"/>
      <c r="F101" s="469"/>
      <c r="I101" s="462"/>
      <c r="J101" s="48"/>
      <c r="K101" s="462"/>
      <c r="M101" s="462"/>
      <c r="O101" s="43"/>
      <c r="P101" s="43"/>
      <c r="Q101" s="43"/>
    </row>
    <row r="102" spans="1:167" s="40" customFormat="1" ht="15.75">
      <c r="A102" s="43"/>
      <c r="B102" s="48"/>
      <c r="C102" s="44"/>
      <c r="D102" s="48"/>
      <c r="E102" s="44"/>
      <c r="F102" s="469"/>
      <c r="I102" s="462"/>
      <c r="J102" s="48"/>
      <c r="K102" s="462"/>
      <c r="M102" s="462"/>
      <c r="O102" s="43"/>
      <c r="P102" s="43"/>
      <c r="Q102" s="43"/>
    </row>
    <row r="103" spans="1:167" s="40" customFormat="1" ht="15.75">
      <c r="A103" s="43"/>
      <c r="B103" s="48"/>
      <c r="C103" s="44"/>
      <c r="D103" s="48"/>
      <c r="E103" s="44"/>
      <c r="F103" s="469"/>
      <c r="I103" s="462"/>
      <c r="J103" s="48"/>
      <c r="K103" s="462"/>
      <c r="M103" s="462"/>
      <c r="O103" s="43"/>
      <c r="P103" s="43"/>
      <c r="Q103" s="43"/>
    </row>
    <row r="104" spans="1:167" s="40" customFormat="1" ht="15.75">
      <c r="A104" s="43"/>
      <c r="B104" s="48"/>
      <c r="C104" s="44"/>
      <c r="D104" s="48"/>
      <c r="E104" s="44"/>
      <c r="F104" s="469"/>
      <c r="I104" s="462"/>
      <c r="J104" s="48"/>
      <c r="K104" s="462"/>
      <c r="M104" s="462"/>
      <c r="O104" s="43"/>
      <c r="P104" s="43"/>
      <c r="Q104" s="43"/>
    </row>
    <row r="105" spans="1:167" s="40" customFormat="1" ht="15.75">
      <c r="A105" s="43"/>
      <c r="B105" s="48"/>
      <c r="C105" s="44"/>
      <c r="D105" s="48"/>
      <c r="E105" s="44"/>
      <c r="F105" s="469"/>
      <c r="I105" s="462"/>
      <c r="J105" s="48"/>
      <c r="K105" s="462"/>
      <c r="M105" s="462"/>
      <c r="O105" s="43"/>
      <c r="P105" s="43"/>
      <c r="Q105" s="43"/>
    </row>
    <row r="106" spans="1:167" s="40" customFormat="1" ht="15.75">
      <c r="A106" s="43"/>
      <c r="B106" s="48"/>
      <c r="C106" s="44"/>
      <c r="D106" s="48"/>
      <c r="E106" s="44"/>
      <c r="F106" s="469"/>
      <c r="I106" s="462"/>
      <c r="J106" s="48"/>
      <c r="K106" s="462"/>
      <c r="M106" s="462"/>
      <c r="O106" s="43"/>
      <c r="P106" s="43"/>
      <c r="Q106" s="43"/>
    </row>
    <row r="107" spans="1:167" s="40" customFormat="1" ht="15.75">
      <c r="A107" s="43"/>
      <c r="B107" s="48"/>
      <c r="C107" s="44"/>
      <c r="D107" s="48"/>
      <c r="E107" s="44"/>
      <c r="F107" s="469"/>
      <c r="I107" s="462"/>
      <c r="J107" s="48"/>
      <c r="K107" s="462"/>
      <c r="M107" s="462"/>
      <c r="O107" s="43"/>
      <c r="P107" s="43"/>
      <c r="Q107" s="43"/>
    </row>
    <row r="108" spans="1:167" s="40" customFormat="1" ht="15.75">
      <c r="A108" s="43"/>
      <c r="B108" s="48"/>
      <c r="C108" s="44"/>
      <c r="D108" s="48"/>
      <c r="E108" s="44"/>
      <c r="F108" s="469"/>
      <c r="I108" s="462"/>
      <c r="J108" s="48"/>
      <c r="K108" s="462"/>
      <c r="M108" s="462"/>
      <c r="O108" s="43"/>
      <c r="P108" s="43"/>
      <c r="Q108" s="43"/>
    </row>
    <row r="109" spans="1:167" s="40" customFormat="1" ht="15.75">
      <c r="A109" s="43"/>
      <c r="B109" s="48"/>
      <c r="C109" s="44"/>
      <c r="D109" s="48"/>
      <c r="E109" s="44"/>
      <c r="F109" s="469"/>
      <c r="I109" s="462"/>
      <c r="J109" s="48"/>
      <c r="K109" s="462"/>
      <c r="M109" s="462"/>
      <c r="O109" s="43"/>
      <c r="P109" s="43"/>
      <c r="Q109" s="43"/>
    </row>
    <row r="110" spans="1:167" s="40" customFormat="1" ht="15.75">
      <c r="A110" s="43"/>
      <c r="B110" s="48"/>
      <c r="C110" s="44"/>
      <c r="D110" s="48"/>
      <c r="E110" s="44"/>
      <c r="F110" s="469"/>
      <c r="I110" s="462"/>
      <c r="J110" s="48"/>
      <c r="K110" s="462"/>
      <c r="M110" s="462"/>
      <c r="O110" s="43"/>
      <c r="P110" s="43"/>
      <c r="Q110" s="43"/>
    </row>
    <row r="111" spans="1:167" s="40" customFormat="1" ht="15.75">
      <c r="A111" s="43"/>
      <c r="B111" s="48"/>
      <c r="C111" s="44"/>
      <c r="D111" s="48"/>
      <c r="E111" s="44"/>
      <c r="F111" s="469"/>
      <c r="I111" s="462"/>
      <c r="J111" s="48"/>
      <c r="K111" s="462"/>
      <c r="M111" s="462"/>
      <c r="O111" s="43"/>
      <c r="P111" s="43"/>
      <c r="Q111" s="43"/>
    </row>
    <row r="112" spans="1:167" s="40" customFormat="1" ht="15.75">
      <c r="A112" s="43"/>
      <c r="B112" s="48"/>
      <c r="C112" s="44"/>
      <c r="D112" s="48"/>
      <c r="E112" s="44"/>
      <c r="F112" s="469"/>
      <c r="I112" s="462"/>
      <c r="J112" s="48"/>
      <c r="K112" s="462"/>
      <c r="M112" s="462"/>
      <c r="O112" s="43"/>
      <c r="P112" s="43"/>
      <c r="Q112" s="43"/>
    </row>
    <row r="113" spans="1:17" s="40" customFormat="1" ht="15.75">
      <c r="A113" s="43"/>
      <c r="B113" s="48"/>
      <c r="C113" s="44"/>
      <c r="D113" s="48"/>
      <c r="E113" s="44"/>
      <c r="F113" s="469"/>
      <c r="I113" s="462"/>
      <c r="J113" s="48"/>
      <c r="K113" s="462"/>
      <c r="M113" s="462"/>
      <c r="O113" s="43"/>
      <c r="P113" s="43"/>
      <c r="Q113" s="43"/>
    </row>
    <row r="114" spans="1:17" s="40" customFormat="1" ht="15.75">
      <c r="A114" s="43"/>
      <c r="B114" s="48"/>
      <c r="C114" s="44"/>
      <c r="D114" s="48"/>
      <c r="E114" s="44"/>
      <c r="F114" s="469"/>
      <c r="I114" s="462"/>
      <c r="J114" s="48"/>
      <c r="K114" s="462"/>
      <c r="M114" s="462"/>
      <c r="O114" s="43"/>
      <c r="P114" s="43"/>
      <c r="Q114" s="43"/>
    </row>
    <row r="115" spans="1:17" s="40" customFormat="1" ht="15.75">
      <c r="A115" s="43"/>
      <c r="B115" s="48"/>
      <c r="C115" s="44"/>
      <c r="D115" s="48"/>
      <c r="E115" s="44"/>
      <c r="F115" s="469"/>
      <c r="I115" s="462"/>
      <c r="J115" s="48"/>
      <c r="K115" s="462"/>
      <c r="M115" s="462"/>
      <c r="O115" s="43"/>
      <c r="P115" s="43"/>
      <c r="Q115" s="43"/>
    </row>
    <row r="116" spans="1:17" s="40" customFormat="1" ht="15.75">
      <c r="A116" s="43"/>
      <c r="B116" s="48"/>
      <c r="C116" s="44"/>
      <c r="D116" s="48"/>
      <c r="E116" s="44"/>
      <c r="F116" s="469"/>
      <c r="I116" s="462"/>
      <c r="J116" s="48"/>
      <c r="K116" s="462"/>
      <c r="M116" s="462"/>
      <c r="O116" s="43"/>
      <c r="P116" s="43"/>
      <c r="Q116" s="43"/>
    </row>
    <row r="117" spans="1:17" s="40" customFormat="1" ht="15.75">
      <c r="A117" s="43"/>
      <c r="B117" s="48"/>
      <c r="C117" s="44"/>
      <c r="D117" s="48"/>
      <c r="E117" s="44"/>
      <c r="F117" s="469"/>
      <c r="I117" s="462"/>
      <c r="J117" s="48"/>
      <c r="K117" s="462"/>
      <c r="M117" s="462"/>
      <c r="O117" s="43"/>
      <c r="P117" s="43"/>
      <c r="Q117" s="43"/>
    </row>
    <row r="118" spans="1:17" s="40" customFormat="1" ht="15.75">
      <c r="A118" s="43"/>
      <c r="B118" s="48"/>
      <c r="C118" s="44"/>
      <c r="D118" s="48"/>
      <c r="E118" s="44"/>
      <c r="F118" s="469"/>
      <c r="I118" s="462"/>
      <c r="J118" s="48"/>
      <c r="K118" s="462"/>
      <c r="M118" s="462"/>
      <c r="O118" s="43"/>
      <c r="P118" s="43"/>
      <c r="Q118" s="43"/>
    </row>
    <row r="119" spans="1:17" s="40" customFormat="1" ht="15.75">
      <c r="A119" s="43"/>
      <c r="B119" s="48"/>
      <c r="C119" s="44"/>
      <c r="D119" s="48"/>
      <c r="E119" s="44"/>
      <c r="F119" s="469"/>
      <c r="I119" s="462"/>
      <c r="J119" s="48"/>
      <c r="K119" s="462"/>
      <c r="M119" s="462"/>
      <c r="O119" s="43"/>
      <c r="P119" s="43"/>
      <c r="Q119" s="43"/>
    </row>
    <row r="120" spans="1:17" s="40" customFormat="1" ht="15.75">
      <c r="A120" s="43"/>
      <c r="B120" s="48"/>
      <c r="C120" s="44"/>
      <c r="D120" s="48"/>
      <c r="E120" s="44"/>
      <c r="F120" s="469"/>
      <c r="I120" s="462"/>
      <c r="J120" s="48"/>
      <c r="K120" s="462"/>
      <c r="M120" s="462"/>
      <c r="O120" s="43"/>
      <c r="P120" s="43"/>
      <c r="Q120" s="43"/>
    </row>
    <row r="121" spans="1:17" s="40" customFormat="1" ht="15.75">
      <c r="A121" s="43"/>
      <c r="B121" s="48"/>
      <c r="C121" s="44"/>
      <c r="D121" s="48"/>
      <c r="E121" s="44"/>
      <c r="F121" s="469"/>
      <c r="I121" s="462"/>
      <c r="J121" s="48"/>
      <c r="K121" s="462"/>
      <c r="M121" s="462"/>
      <c r="O121" s="43"/>
      <c r="P121" s="43"/>
      <c r="Q121" s="43"/>
    </row>
    <row r="122" spans="1:17" s="40" customFormat="1" ht="15.75">
      <c r="A122" s="43"/>
      <c r="B122" s="48"/>
      <c r="C122" s="44"/>
      <c r="D122" s="48"/>
      <c r="E122" s="44"/>
      <c r="F122" s="469"/>
      <c r="I122" s="462"/>
      <c r="J122" s="48"/>
      <c r="K122" s="462"/>
      <c r="M122" s="462"/>
      <c r="O122" s="43"/>
      <c r="P122" s="43"/>
      <c r="Q122" s="43"/>
    </row>
    <row r="123" spans="1:17" s="40" customFormat="1" ht="15.75">
      <c r="A123" s="43"/>
      <c r="B123" s="48"/>
      <c r="C123" s="44"/>
      <c r="D123" s="48"/>
      <c r="E123" s="44"/>
      <c r="F123" s="469"/>
      <c r="I123" s="462"/>
      <c r="J123" s="48"/>
      <c r="K123" s="462"/>
      <c r="M123" s="462"/>
      <c r="O123" s="43"/>
      <c r="P123" s="43"/>
      <c r="Q123" s="43"/>
    </row>
    <row r="124" spans="1:17" s="40" customFormat="1" ht="15.75">
      <c r="A124" s="43"/>
      <c r="B124" s="48"/>
      <c r="C124" s="44"/>
      <c r="D124" s="48"/>
      <c r="E124" s="44"/>
      <c r="F124" s="469"/>
      <c r="I124" s="462"/>
      <c r="J124" s="48"/>
      <c r="K124" s="462"/>
      <c r="M124" s="462"/>
      <c r="O124" s="43"/>
      <c r="P124" s="43"/>
      <c r="Q124" s="43"/>
    </row>
    <row r="125" spans="1:17" s="40" customFormat="1" ht="15.75">
      <c r="A125" s="43"/>
      <c r="B125" s="48"/>
      <c r="C125" s="44"/>
      <c r="D125" s="48"/>
      <c r="E125" s="44"/>
      <c r="F125" s="469"/>
      <c r="I125" s="462"/>
      <c r="J125" s="48"/>
      <c r="K125" s="462"/>
      <c r="M125" s="462"/>
      <c r="O125" s="43"/>
      <c r="P125" s="43"/>
      <c r="Q125" s="43"/>
    </row>
    <row r="126" spans="1:17" s="40" customFormat="1" ht="15.75">
      <c r="A126" s="43"/>
      <c r="B126" s="48"/>
      <c r="C126" s="44"/>
      <c r="D126" s="48"/>
      <c r="E126" s="44"/>
      <c r="F126" s="469"/>
      <c r="I126" s="462"/>
      <c r="J126" s="48"/>
      <c r="K126" s="462"/>
      <c r="M126" s="462"/>
      <c r="O126" s="43"/>
      <c r="P126" s="43"/>
      <c r="Q126" s="43"/>
    </row>
    <row r="127" spans="1:17" s="40" customFormat="1" ht="15.75">
      <c r="A127" s="43"/>
      <c r="B127" s="48"/>
      <c r="C127" s="44"/>
      <c r="D127" s="48"/>
      <c r="E127" s="44"/>
      <c r="F127" s="469"/>
      <c r="I127" s="462"/>
      <c r="J127" s="48"/>
      <c r="K127" s="462"/>
      <c r="M127" s="462"/>
      <c r="O127" s="43"/>
      <c r="P127" s="43"/>
      <c r="Q127" s="43"/>
    </row>
    <row r="128" spans="1:17" s="40" customFormat="1" ht="15.75">
      <c r="A128" s="43"/>
      <c r="B128" s="48"/>
      <c r="C128" s="44"/>
      <c r="D128" s="48"/>
      <c r="E128" s="44"/>
      <c r="F128" s="469"/>
      <c r="I128" s="462"/>
      <c r="J128" s="48"/>
      <c r="K128" s="462"/>
      <c r="M128" s="462"/>
      <c r="O128" s="43"/>
      <c r="P128" s="43"/>
      <c r="Q128" s="43"/>
    </row>
    <row r="129" spans="1:17" s="40" customFormat="1" ht="15.75">
      <c r="A129" s="43"/>
      <c r="B129" s="48"/>
      <c r="C129" s="44"/>
      <c r="D129" s="48"/>
      <c r="E129" s="44"/>
      <c r="F129" s="469"/>
      <c r="I129" s="462"/>
      <c r="J129" s="48"/>
      <c r="K129" s="462"/>
      <c r="M129" s="462"/>
      <c r="O129" s="43"/>
      <c r="P129" s="43"/>
      <c r="Q129" s="43"/>
    </row>
    <row r="130" spans="1:17" s="40" customFormat="1" ht="21.75" customHeight="1">
      <c r="A130" s="43"/>
      <c r="B130" s="48"/>
      <c r="C130" s="44"/>
      <c r="D130" s="48"/>
      <c r="E130" s="44"/>
      <c r="F130" s="469"/>
      <c r="I130" s="462"/>
      <c r="J130" s="48"/>
      <c r="K130" s="462"/>
      <c r="M130" s="462"/>
      <c r="O130" s="43"/>
      <c r="P130" s="43"/>
      <c r="Q130" s="43"/>
    </row>
    <row r="131" spans="1:17" s="40" customFormat="1" ht="21.75" customHeight="1">
      <c r="A131" s="43"/>
      <c r="B131" s="48"/>
      <c r="C131" s="44"/>
      <c r="D131" s="48"/>
      <c r="E131" s="44"/>
      <c r="F131" s="469"/>
      <c r="I131" s="462"/>
      <c r="J131" s="48"/>
      <c r="K131" s="462"/>
      <c r="M131" s="462"/>
      <c r="O131" s="43"/>
      <c r="P131" s="43"/>
      <c r="Q131" s="43"/>
    </row>
    <row r="132" spans="1:17" s="40" customFormat="1" ht="21.75" customHeight="1">
      <c r="A132" s="43"/>
      <c r="B132" s="48"/>
      <c r="C132" s="44"/>
      <c r="D132" s="48"/>
      <c r="E132" s="44"/>
      <c r="F132" s="469"/>
      <c r="I132" s="462"/>
      <c r="J132" s="48"/>
      <c r="K132" s="462"/>
      <c r="M132" s="462"/>
      <c r="O132" s="43"/>
      <c r="P132" s="43"/>
      <c r="Q132" s="43"/>
    </row>
    <row r="133" spans="1:17" s="40" customFormat="1" ht="21.75" customHeight="1">
      <c r="A133" s="43"/>
      <c r="B133" s="48"/>
      <c r="C133" s="44"/>
      <c r="D133" s="48"/>
      <c r="E133" s="44"/>
      <c r="F133" s="469"/>
      <c r="I133" s="462"/>
      <c r="J133" s="48"/>
      <c r="K133" s="462"/>
      <c r="M133" s="462"/>
      <c r="O133" s="43"/>
      <c r="P133" s="43"/>
      <c r="Q133" s="43"/>
    </row>
    <row r="134" spans="1:17" s="40" customFormat="1" ht="21.75" customHeight="1">
      <c r="A134" s="43"/>
      <c r="B134" s="48"/>
      <c r="C134" s="44"/>
      <c r="D134" s="48"/>
      <c r="E134" s="44"/>
      <c r="F134" s="469"/>
      <c r="I134" s="462"/>
      <c r="J134" s="48"/>
      <c r="K134" s="462"/>
      <c r="M134" s="462"/>
      <c r="O134" s="43"/>
      <c r="P134" s="43"/>
      <c r="Q134" s="43"/>
    </row>
    <row r="135" spans="1:17" s="40" customFormat="1" ht="21.75" customHeight="1">
      <c r="A135" s="43"/>
      <c r="B135" s="48"/>
      <c r="C135" s="44"/>
      <c r="D135" s="48"/>
      <c r="E135" s="44"/>
      <c r="F135" s="469"/>
      <c r="I135" s="462"/>
      <c r="J135" s="48"/>
      <c r="K135" s="462"/>
      <c r="M135" s="462"/>
      <c r="O135" s="43"/>
      <c r="P135" s="43"/>
      <c r="Q135" s="43"/>
    </row>
    <row r="136" spans="1:17" s="40" customFormat="1" ht="21.75" customHeight="1">
      <c r="A136" s="43"/>
      <c r="B136" s="48"/>
      <c r="C136" s="44"/>
      <c r="D136" s="48"/>
      <c r="E136" s="44"/>
      <c r="F136" s="469"/>
      <c r="I136" s="462"/>
      <c r="J136" s="48"/>
      <c r="K136" s="462"/>
      <c r="M136" s="462"/>
      <c r="O136" s="43"/>
      <c r="P136" s="43"/>
      <c r="Q136" s="43"/>
    </row>
    <row r="137" spans="1:17" s="40" customFormat="1" ht="21.75" customHeight="1">
      <c r="A137" s="43"/>
      <c r="B137" s="48"/>
      <c r="C137" s="44"/>
      <c r="D137" s="48"/>
      <c r="E137" s="44"/>
      <c r="F137" s="469"/>
      <c r="I137" s="462"/>
      <c r="J137" s="48"/>
      <c r="K137" s="462"/>
      <c r="M137" s="462"/>
      <c r="O137" s="43"/>
      <c r="P137" s="43"/>
      <c r="Q137" s="43"/>
    </row>
    <row r="138" spans="1:17" s="40" customFormat="1" ht="21.75" customHeight="1">
      <c r="A138" s="43"/>
      <c r="B138" s="48"/>
      <c r="C138" s="44"/>
      <c r="D138" s="48"/>
      <c r="E138" s="44"/>
      <c r="F138" s="469"/>
      <c r="I138" s="462"/>
      <c r="J138" s="48"/>
      <c r="K138" s="462"/>
      <c r="M138" s="462"/>
      <c r="O138" s="43"/>
      <c r="P138" s="43"/>
      <c r="Q138" s="43"/>
    </row>
    <row r="139" spans="1:17" s="40" customFormat="1" ht="21.75" customHeight="1">
      <c r="A139" s="43"/>
      <c r="B139" s="48"/>
      <c r="C139" s="44"/>
      <c r="D139" s="48"/>
      <c r="E139" s="44"/>
      <c r="F139" s="469"/>
      <c r="I139" s="462"/>
      <c r="J139" s="48"/>
      <c r="K139" s="462"/>
      <c r="M139" s="462"/>
      <c r="O139" s="43"/>
      <c r="P139" s="43"/>
      <c r="Q139" s="43"/>
    </row>
    <row r="140" spans="1:17" s="40" customFormat="1" ht="21.75" customHeight="1">
      <c r="A140" s="43"/>
      <c r="B140" s="48"/>
      <c r="C140" s="44"/>
      <c r="D140" s="48"/>
      <c r="E140" s="44"/>
      <c r="F140" s="469"/>
      <c r="I140" s="462"/>
      <c r="J140" s="48"/>
      <c r="K140" s="462"/>
      <c r="M140" s="462"/>
      <c r="O140" s="43"/>
      <c r="P140" s="43"/>
      <c r="Q140" s="43"/>
    </row>
    <row r="141" spans="1:17" s="40" customFormat="1" ht="21.75" customHeight="1">
      <c r="A141" s="43"/>
      <c r="B141" s="48"/>
      <c r="C141" s="44"/>
      <c r="D141" s="48"/>
      <c r="E141" s="44"/>
      <c r="F141" s="469"/>
      <c r="I141" s="462"/>
      <c r="J141" s="48"/>
      <c r="K141" s="462"/>
      <c r="M141" s="462"/>
      <c r="O141" s="43"/>
      <c r="P141" s="43"/>
      <c r="Q141" s="43"/>
    </row>
    <row r="142" spans="1:17" s="40" customFormat="1" ht="21.75" customHeight="1">
      <c r="A142" s="43"/>
      <c r="B142" s="48"/>
      <c r="C142" s="44"/>
      <c r="D142" s="48"/>
      <c r="E142" s="44"/>
      <c r="F142" s="469"/>
      <c r="I142" s="462"/>
      <c r="J142" s="48"/>
      <c r="K142" s="462"/>
      <c r="M142" s="462"/>
      <c r="O142" s="43"/>
      <c r="P142" s="43"/>
      <c r="Q142" s="43"/>
    </row>
    <row r="143" spans="1:17" s="40" customFormat="1" ht="21.75" customHeight="1">
      <c r="A143" s="43"/>
      <c r="B143" s="48"/>
      <c r="C143" s="44"/>
      <c r="D143" s="48"/>
      <c r="E143" s="44"/>
      <c r="F143" s="469"/>
      <c r="I143" s="462"/>
      <c r="J143" s="48"/>
      <c r="K143" s="462"/>
      <c r="M143" s="462"/>
      <c r="O143" s="43"/>
      <c r="P143" s="43"/>
      <c r="Q143" s="43"/>
    </row>
    <row r="144" spans="1:17" s="40" customFormat="1" ht="21.75" customHeight="1">
      <c r="A144" s="43"/>
      <c r="B144" s="48"/>
      <c r="C144" s="44"/>
      <c r="D144" s="48"/>
      <c r="E144" s="44"/>
      <c r="F144" s="469"/>
      <c r="I144" s="462"/>
      <c r="J144" s="48"/>
      <c r="K144" s="462"/>
      <c r="M144" s="462"/>
      <c r="O144" s="43"/>
      <c r="P144" s="43"/>
      <c r="Q144" s="43"/>
    </row>
    <row r="145" spans="1:17" s="40" customFormat="1" ht="21.75" customHeight="1">
      <c r="A145" s="43"/>
      <c r="B145" s="48"/>
      <c r="C145" s="44"/>
      <c r="D145" s="48"/>
      <c r="E145" s="44"/>
      <c r="F145" s="469"/>
      <c r="I145" s="462"/>
      <c r="J145" s="48"/>
      <c r="K145" s="462"/>
      <c r="M145" s="462"/>
      <c r="O145" s="43"/>
      <c r="P145" s="43"/>
      <c r="Q145" s="43"/>
    </row>
    <row r="146" spans="1:17" s="40" customFormat="1" ht="21.75" customHeight="1">
      <c r="A146" s="43"/>
      <c r="B146" s="48"/>
      <c r="C146" s="44"/>
      <c r="D146" s="48"/>
      <c r="E146" s="44"/>
      <c r="F146" s="469"/>
      <c r="I146" s="462"/>
      <c r="J146" s="48"/>
      <c r="K146" s="462"/>
      <c r="M146" s="462"/>
      <c r="O146" s="43"/>
      <c r="P146" s="43"/>
      <c r="Q146" s="43"/>
    </row>
    <row r="147" spans="1:17" s="40" customFormat="1" ht="21.75" customHeight="1">
      <c r="A147" s="43"/>
      <c r="B147" s="48"/>
      <c r="C147" s="44"/>
      <c r="D147" s="48"/>
      <c r="E147" s="44"/>
      <c r="F147" s="469"/>
      <c r="I147" s="462"/>
      <c r="J147" s="48"/>
      <c r="K147" s="462"/>
      <c r="M147" s="462"/>
      <c r="O147" s="43"/>
      <c r="P147" s="43"/>
      <c r="Q147" s="43"/>
    </row>
    <row r="148" spans="1:17" s="40" customFormat="1" ht="21.75" customHeight="1">
      <c r="A148" s="43"/>
      <c r="B148" s="48"/>
      <c r="C148" s="44"/>
      <c r="D148" s="48"/>
      <c r="E148" s="44"/>
      <c r="F148" s="469"/>
      <c r="I148" s="462"/>
      <c r="J148" s="48"/>
      <c r="K148" s="462"/>
      <c r="M148" s="462"/>
      <c r="O148" s="43"/>
      <c r="P148" s="43"/>
      <c r="Q148" s="43"/>
    </row>
    <row r="149" spans="1:17" s="40" customFormat="1" ht="21.75" customHeight="1">
      <c r="A149" s="43"/>
      <c r="B149" s="48"/>
      <c r="C149" s="44"/>
      <c r="D149" s="48"/>
      <c r="E149" s="44"/>
      <c r="F149" s="469"/>
      <c r="I149" s="462"/>
      <c r="J149" s="48"/>
      <c r="K149" s="462"/>
      <c r="M149" s="462"/>
      <c r="O149" s="43"/>
      <c r="P149" s="43"/>
      <c r="Q149" s="43"/>
    </row>
    <row r="150" spans="1:17" s="40" customFormat="1" ht="21.75" customHeight="1">
      <c r="A150" s="43"/>
      <c r="B150" s="48"/>
      <c r="C150" s="44"/>
      <c r="D150" s="48"/>
      <c r="E150" s="44"/>
      <c r="F150" s="469"/>
      <c r="I150" s="462"/>
      <c r="J150" s="48"/>
      <c r="K150" s="462"/>
      <c r="M150" s="462"/>
      <c r="O150" s="43"/>
      <c r="P150" s="43"/>
      <c r="Q150" s="43"/>
    </row>
    <row r="151" spans="1:17" s="40" customFormat="1" ht="21.75" customHeight="1">
      <c r="A151" s="43"/>
      <c r="B151" s="48"/>
      <c r="C151" s="44"/>
      <c r="D151" s="48"/>
      <c r="E151" s="44"/>
      <c r="F151" s="469"/>
      <c r="I151" s="462"/>
      <c r="J151" s="48"/>
      <c r="K151" s="462"/>
      <c r="M151" s="462"/>
      <c r="O151" s="43"/>
      <c r="P151" s="43"/>
      <c r="Q151" s="43"/>
    </row>
    <row r="152" spans="1:17" s="40" customFormat="1" ht="21.75" customHeight="1">
      <c r="A152" s="43"/>
      <c r="B152" s="48"/>
      <c r="C152" s="44"/>
      <c r="D152" s="48"/>
      <c r="E152" s="44"/>
      <c r="F152" s="469"/>
      <c r="I152" s="462"/>
      <c r="J152" s="48"/>
      <c r="K152" s="462"/>
      <c r="M152" s="462"/>
      <c r="O152" s="43"/>
      <c r="P152" s="43"/>
      <c r="Q152" s="43"/>
    </row>
    <row r="153" spans="1:17" s="40" customFormat="1" ht="21.75" customHeight="1">
      <c r="A153" s="43"/>
      <c r="B153" s="48"/>
      <c r="C153" s="44"/>
      <c r="D153" s="48"/>
      <c r="E153" s="44"/>
      <c r="F153" s="469"/>
      <c r="I153" s="462"/>
      <c r="J153" s="48"/>
      <c r="K153" s="462"/>
      <c r="M153" s="462"/>
      <c r="O153" s="43"/>
      <c r="P153" s="43"/>
      <c r="Q153" s="43"/>
    </row>
    <row r="154" spans="1:17" s="40" customFormat="1" ht="21.75" customHeight="1">
      <c r="A154" s="43"/>
      <c r="B154" s="48"/>
      <c r="C154" s="44"/>
      <c r="D154" s="48"/>
      <c r="E154" s="44"/>
      <c r="F154" s="469"/>
      <c r="I154" s="462"/>
      <c r="J154" s="48"/>
      <c r="K154" s="462"/>
      <c r="M154" s="462"/>
      <c r="O154" s="43"/>
      <c r="P154" s="43"/>
      <c r="Q154" s="43"/>
    </row>
    <row r="155" spans="1:17" s="40" customFormat="1" ht="21.75" customHeight="1">
      <c r="A155" s="43"/>
      <c r="B155" s="48"/>
      <c r="C155" s="44"/>
      <c r="D155" s="48"/>
      <c r="E155" s="44"/>
      <c r="F155" s="469"/>
      <c r="I155" s="462"/>
      <c r="J155" s="48"/>
      <c r="K155" s="462"/>
      <c r="M155" s="462"/>
      <c r="O155" s="43"/>
      <c r="P155" s="43"/>
      <c r="Q155" s="43"/>
    </row>
    <row r="156" spans="1:17" s="40" customFormat="1" ht="21.75" customHeight="1">
      <c r="A156" s="43"/>
      <c r="B156" s="48"/>
      <c r="C156" s="44"/>
      <c r="D156" s="48"/>
      <c r="E156" s="44"/>
      <c r="F156" s="469"/>
      <c r="I156" s="462"/>
      <c r="J156" s="48"/>
      <c r="K156" s="462"/>
      <c r="M156" s="462"/>
      <c r="O156" s="43"/>
      <c r="P156" s="43"/>
      <c r="Q156" s="43"/>
    </row>
    <row r="157" spans="1:17" s="40" customFormat="1" ht="21.75" customHeight="1">
      <c r="A157" s="43"/>
      <c r="B157" s="48"/>
      <c r="C157" s="44"/>
      <c r="D157" s="48"/>
      <c r="E157" s="44"/>
      <c r="F157" s="469"/>
      <c r="I157" s="462"/>
      <c r="J157" s="48"/>
      <c r="K157" s="462"/>
      <c r="M157" s="462"/>
      <c r="O157" s="43"/>
      <c r="P157" s="43"/>
      <c r="Q157" s="43"/>
    </row>
    <row r="158" spans="1:17" s="40" customFormat="1" ht="21.75" customHeight="1">
      <c r="A158" s="43"/>
      <c r="B158" s="48"/>
      <c r="C158" s="44"/>
      <c r="D158" s="48"/>
      <c r="E158" s="44"/>
      <c r="F158" s="469"/>
      <c r="I158" s="462"/>
      <c r="J158" s="48"/>
      <c r="K158" s="462"/>
      <c r="M158" s="462"/>
      <c r="O158" s="43"/>
      <c r="P158" s="43"/>
      <c r="Q158" s="43"/>
    </row>
    <row r="159" spans="1:17" s="40" customFormat="1" ht="21.75" customHeight="1">
      <c r="A159" s="43"/>
      <c r="B159" s="48"/>
      <c r="C159" s="44"/>
      <c r="D159" s="48"/>
      <c r="E159" s="44"/>
      <c r="F159" s="469"/>
      <c r="I159" s="462"/>
      <c r="J159" s="48"/>
      <c r="K159" s="462"/>
      <c r="M159" s="462"/>
      <c r="O159" s="43"/>
      <c r="P159" s="43"/>
      <c r="Q159" s="43"/>
    </row>
    <row r="160" spans="1:17" s="40" customFormat="1" ht="21.75" customHeight="1">
      <c r="A160" s="43"/>
      <c r="B160" s="48"/>
      <c r="C160" s="44"/>
      <c r="D160" s="48"/>
      <c r="E160" s="44"/>
      <c r="F160" s="469"/>
      <c r="I160" s="462"/>
      <c r="J160" s="48"/>
      <c r="K160" s="462"/>
      <c r="M160" s="462"/>
      <c r="O160" s="43"/>
      <c r="P160" s="43"/>
      <c r="Q160" s="43"/>
    </row>
    <row r="161" spans="1:17" s="40" customFormat="1" ht="21.75" customHeight="1">
      <c r="A161" s="43"/>
      <c r="B161" s="48"/>
      <c r="C161" s="44"/>
      <c r="D161" s="48"/>
      <c r="E161" s="44"/>
      <c r="F161" s="469"/>
      <c r="I161" s="462"/>
      <c r="J161" s="48"/>
      <c r="K161" s="462"/>
      <c r="M161" s="462"/>
      <c r="O161" s="43"/>
      <c r="P161" s="43"/>
      <c r="Q161" s="43"/>
    </row>
    <row r="162" spans="1:17" s="40" customFormat="1" ht="21.75" customHeight="1">
      <c r="A162" s="43"/>
      <c r="B162" s="48"/>
      <c r="C162" s="44"/>
      <c r="D162" s="48"/>
      <c r="E162" s="44"/>
      <c r="F162" s="469"/>
      <c r="I162" s="462"/>
      <c r="J162" s="48"/>
      <c r="K162" s="462"/>
      <c r="M162" s="462"/>
      <c r="O162" s="43"/>
      <c r="P162" s="43"/>
      <c r="Q162" s="43"/>
    </row>
    <row r="163" spans="1:17" s="40" customFormat="1" ht="21.75" customHeight="1">
      <c r="A163" s="43"/>
      <c r="B163" s="48"/>
      <c r="C163" s="44"/>
      <c r="D163" s="48"/>
      <c r="E163" s="44"/>
      <c r="F163" s="469"/>
      <c r="I163" s="462"/>
      <c r="J163" s="48"/>
      <c r="K163" s="462"/>
      <c r="M163" s="462"/>
      <c r="O163" s="43"/>
      <c r="P163" s="43"/>
      <c r="Q163" s="43"/>
    </row>
    <row r="164" spans="1:17" s="40" customFormat="1" ht="21.75" customHeight="1">
      <c r="A164" s="43"/>
      <c r="B164" s="48"/>
      <c r="C164" s="44"/>
      <c r="D164" s="48"/>
      <c r="E164" s="44"/>
      <c r="F164" s="469"/>
      <c r="I164" s="462"/>
      <c r="J164" s="48"/>
      <c r="K164" s="462"/>
      <c r="M164" s="462"/>
      <c r="O164" s="43"/>
      <c r="P164" s="43"/>
      <c r="Q164" s="43"/>
    </row>
    <row r="165" spans="1:17" s="40" customFormat="1" ht="21.75" customHeight="1">
      <c r="A165" s="43"/>
      <c r="B165" s="48"/>
      <c r="C165" s="44"/>
      <c r="D165" s="48"/>
      <c r="E165" s="44"/>
      <c r="F165" s="469"/>
      <c r="I165" s="462"/>
      <c r="J165" s="48"/>
      <c r="K165" s="462"/>
      <c r="M165" s="462"/>
      <c r="O165" s="43"/>
      <c r="P165" s="43"/>
      <c r="Q165" s="43"/>
    </row>
    <row r="166" spans="1:17" s="40" customFormat="1" ht="21.75" customHeight="1">
      <c r="A166" s="43"/>
      <c r="B166" s="48"/>
      <c r="C166" s="44"/>
      <c r="D166" s="48"/>
      <c r="E166" s="44"/>
      <c r="F166" s="469"/>
      <c r="I166" s="462"/>
      <c r="J166" s="48"/>
      <c r="K166" s="462"/>
      <c r="M166" s="462"/>
      <c r="O166" s="43"/>
      <c r="P166" s="43"/>
      <c r="Q166" s="43"/>
    </row>
    <row r="167" spans="1:17" s="40" customFormat="1" ht="21.75" customHeight="1">
      <c r="A167" s="43"/>
      <c r="B167" s="48"/>
      <c r="C167" s="44"/>
      <c r="D167" s="48"/>
      <c r="E167" s="44"/>
      <c r="F167" s="469"/>
      <c r="I167" s="462"/>
      <c r="J167" s="48"/>
      <c r="K167" s="462"/>
      <c r="M167" s="462"/>
      <c r="O167" s="43"/>
      <c r="P167" s="43"/>
      <c r="Q167" s="43"/>
    </row>
    <row r="168" spans="1:17" s="40" customFormat="1" ht="21.75" customHeight="1">
      <c r="A168" s="43"/>
      <c r="B168" s="48"/>
      <c r="C168" s="44"/>
      <c r="D168" s="48"/>
      <c r="E168" s="44"/>
      <c r="F168" s="469"/>
      <c r="I168" s="462"/>
      <c r="J168" s="48"/>
      <c r="K168" s="462"/>
      <c r="M168" s="462"/>
      <c r="O168" s="43"/>
      <c r="P168" s="43"/>
      <c r="Q168" s="43"/>
    </row>
    <row r="169" spans="1:17" s="40" customFormat="1" ht="21.75" customHeight="1">
      <c r="A169" s="43"/>
      <c r="B169" s="48"/>
      <c r="C169" s="44"/>
      <c r="D169" s="48"/>
      <c r="E169" s="44"/>
      <c r="F169" s="469"/>
      <c r="I169" s="462"/>
      <c r="J169" s="48"/>
      <c r="K169" s="462"/>
      <c r="M169" s="462"/>
      <c r="O169" s="43"/>
      <c r="P169" s="43"/>
      <c r="Q169" s="43"/>
    </row>
    <row r="170" spans="1:17" s="40" customFormat="1" ht="21.75" customHeight="1">
      <c r="A170" s="43"/>
      <c r="B170" s="48"/>
      <c r="C170" s="44"/>
      <c r="D170" s="48"/>
      <c r="E170" s="44"/>
      <c r="F170" s="469"/>
      <c r="I170" s="462"/>
      <c r="J170" s="48"/>
      <c r="K170" s="462"/>
      <c r="M170" s="462"/>
      <c r="O170" s="43"/>
      <c r="P170" s="43"/>
      <c r="Q170" s="43"/>
    </row>
    <row r="171" spans="1:17" s="40" customFormat="1" ht="21.75" customHeight="1">
      <c r="A171" s="43"/>
      <c r="B171" s="48"/>
      <c r="C171" s="44"/>
      <c r="D171" s="48"/>
      <c r="E171" s="44"/>
      <c r="F171" s="469"/>
      <c r="I171" s="462"/>
      <c r="J171" s="48"/>
      <c r="K171" s="462"/>
      <c r="M171" s="462"/>
      <c r="O171" s="43"/>
      <c r="P171" s="43"/>
      <c r="Q171" s="43"/>
    </row>
    <row r="172" spans="1:17" s="40" customFormat="1" ht="21.75" customHeight="1">
      <c r="A172" s="43"/>
      <c r="B172" s="48"/>
      <c r="C172" s="44"/>
      <c r="D172" s="48"/>
      <c r="E172" s="44"/>
      <c r="F172" s="469"/>
      <c r="I172" s="462"/>
      <c r="J172" s="48"/>
      <c r="K172" s="462"/>
      <c r="M172" s="462"/>
      <c r="O172" s="43"/>
      <c r="P172" s="43"/>
      <c r="Q172" s="43"/>
    </row>
    <row r="173" spans="1:17" s="40" customFormat="1" ht="21.75" customHeight="1">
      <c r="A173" s="43"/>
      <c r="B173" s="48"/>
      <c r="C173" s="44"/>
      <c r="D173" s="48"/>
      <c r="E173" s="44"/>
      <c r="F173" s="469"/>
      <c r="I173" s="462"/>
      <c r="J173" s="48"/>
      <c r="K173" s="462"/>
      <c r="M173" s="462"/>
      <c r="O173" s="43"/>
      <c r="P173" s="43"/>
      <c r="Q173" s="43"/>
    </row>
    <row r="174" spans="1:17" s="40" customFormat="1" ht="21.75" customHeight="1">
      <c r="A174" s="43"/>
      <c r="B174" s="48"/>
      <c r="C174" s="44"/>
      <c r="D174" s="48"/>
      <c r="E174" s="44"/>
      <c r="F174" s="469"/>
      <c r="I174" s="462"/>
      <c r="J174" s="48"/>
      <c r="K174" s="462"/>
      <c r="M174" s="462"/>
      <c r="O174" s="43"/>
      <c r="P174" s="43"/>
      <c r="Q174" s="43"/>
    </row>
    <row r="175" spans="1:17" s="40" customFormat="1" ht="21.75" customHeight="1">
      <c r="A175" s="43"/>
      <c r="B175" s="48"/>
      <c r="C175" s="44"/>
      <c r="D175" s="48"/>
      <c r="E175" s="44"/>
      <c r="F175" s="469"/>
      <c r="I175" s="462"/>
      <c r="J175" s="48"/>
      <c r="K175" s="462"/>
      <c r="M175" s="462"/>
      <c r="O175" s="43"/>
      <c r="P175" s="43"/>
      <c r="Q175" s="43"/>
    </row>
    <row r="176" spans="1:17" s="40" customFormat="1" ht="21.75" customHeight="1">
      <c r="A176" s="43"/>
      <c r="B176" s="48"/>
      <c r="C176" s="44"/>
      <c r="D176" s="48"/>
      <c r="E176" s="44"/>
      <c r="F176" s="469"/>
      <c r="I176" s="462"/>
      <c r="J176" s="48"/>
      <c r="K176" s="462"/>
      <c r="M176" s="462"/>
      <c r="O176" s="43"/>
      <c r="P176" s="43"/>
      <c r="Q176" s="43"/>
    </row>
    <row r="177" spans="1:17" s="40" customFormat="1" ht="21.75" customHeight="1">
      <c r="A177" s="43"/>
      <c r="B177" s="48"/>
      <c r="C177" s="44"/>
      <c r="D177" s="48"/>
      <c r="E177" s="44"/>
      <c r="F177" s="469"/>
      <c r="I177" s="462"/>
      <c r="J177" s="48"/>
      <c r="K177" s="462"/>
      <c r="M177" s="462"/>
      <c r="O177" s="43"/>
      <c r="P177" s="43"/>
      <c r="Q177" s="43"/>
    </row>
    <row r="178" spans="1:17" s="40" customFormat="1" ht="21.75" customHeight="1">
      <c r="A178" s="43"/>
      <c r="B178" s="48"/>
      <c r="C178" s="44"/>
      <c r="D178" s="48"/>
      <c r="E178" s="44"/>
      <c r="F178" s="469"/>
      <c r="I178" s="462"/>
      <c r="J178" s="48"/>
      <c r="K178" s="462"/>
      <c r="M178" s="462"/>
      <c r="O178" s="43"/>
      <c r="P178" s="43"/>
      <c r="Q178" s="43"/>
    </row>
    <row r="179" spans="1:17" s="40" customFormat="1" ht="21.75" customHeight="1">
      <c r="A179" s="43"/>
      <c r="B179" s="48"/>
      <c r="C179" s="44"/>
      <c r="D179" s="48"/>
      <c r="E179" s="44"/>
      <c r="F179" s="469"/>
      <c r="I179" s="462"/>
      <c r="J179" s="48"/>
      <c r="K179" s="462"/>
      <c r="M179" s="462"/>
      <c r="O179" s="43"/>
      <c r="P179" s="43"/>
      <c r="Q179" s="43"/>
    </row>
    <row r="180" spans="1:17" s="40" customFormat="1" ht="21.75" customHeight="1">
      <c r="A180" s="43"/>
      <c r="B180" s="48"/>
      <c r="C180" s="44"/>
      <c r="D180" s="48"/>
      <c r="E180" s="44"/>
      <c r="F180" s="469"/>
      <c r="I180" s="462"/>
      <c r="J180" s="48"/>
      <c r="K180" s="462"/>
      <c r="M180" s="462"/>
      <c r="O180" s="43"/>
      <c r="P180" s="43"/>
      <c r="Q180" s="43"/>
    </row>
    <row r="181" spans="1:17" s="40" customFormat="1" ht="21.75" customHeight="1">
      <c r="A181" s="43"/>
      <c r="B181" s="48"/>
      <c r="C181" s="44"/>
      <c r="D181" s="48"/>
      <c r="E181" s="44"/>
      <c r="F181" s="469"/>
      <c r="I181" s="462"/>
      <c r="J181" s="48"/>
      <c r="K181" s="462"/>
      <c r="M181" s="462"/>
      <c r="O181" s="43"/>
      <c r="P181" s="43"/>
      <c r="Q181" s="43"/>
    </row>
    <row r="182" spans="1:17" s="40" customFormat="1" ht="21.75" customHeight="1">
      <c r="A182" s="43"/>
      <c r="B182" s="48"/>
      <c r="C182" s="44"/>
      <c r="D182" s="48"/>
      <c r="E182" s="44"/>
      <c r="F182" s="469"/>
      <c r="I182" s="462"/>
      <c r="J182" s="48"/>
      <c r="K182" s="462"/>
      <c r="M182" s="462"/>
      <c r="O182" s="43"/>
      <c r="P182" s="43"/>
      <c r="Q182" s="43"/>
    </row>
    <row r="183" spans="1:17" s="40" customFormat="1" ht="21.75" customHeight="1">
      <c r="A183" s="43"/>
      <c r="B183" s="48"/>
      <c r="C183" s="44"/>
      <c r="D183" s="48"/>
      <c r="E183" s="44"/>
      <c r="F183" s="469"/>
      <c r="I183" s="462"/>
      <c r="J183" s="48"/>
      <c r="K183" s="462"/>
      <c r="M183" s="462"/>
      <c r="O183" s="43"/>
      <c r="P183" s="43"/>
      <c r="Q183" s="43"/>
    </row>
    <row r="184" spans="1:17" s="40" customFormat="1" ht="21.75" customHeight="1">
      <c r="A184" s="43"/>
      <c r="B184" s="48"/>
      <c r="C184" s="44"/>
      <c r="D184" s="48"/>
      <c r="E184" s="44"/>
      <c r="F184" s="469"/>
      <c r="I184" s="462"/>
      <c r="J184" s="48"/>
      <c r="K184" s="462"/>
      <c r="M184" s="462"/>
      <c r="O184" s="43"/>
      <c r="P184" s="43"/>
      <c r="Q184" s="43"/>
    </row>
    <row r="185" spans="1:17" s="40" customFormat="1" ht="21.75" customHeight="1">
      <c r="A185" s="43"/>
      <c r="B185" s="48"/>
      <c r="C185" s="44"/>
      <c r="D185" s="48"/>
      <c r="E185" s="44"/>
      <c r="F185" s="469"/>
      <c r="I185" s="462"/>
      <c r="J185" s="48"/>
      <c r="K185" s="462"/>
      <c r="M185" s="462"/>
      <c r="O185" s="43"/>
      <c r="P185" s="43"/>
      <c r="Q185" s="43"/>
    </row>
    <row r="186" spans="1:17" s="40" customFormat="1" ht="21.75" customHeight="1">
      <c r="A186" s="43"/>
      <c r="B186" s="48"/>
      <c r="C186" s="44"/>
      <c r="D186" s="48"/>
      <c r="E186" s="44"/>
      <c r="F186" s="469"/>
      <c r="I186" s="462"/>
      <c r="J186" s="48"/>
      <c r="K186" s="462"/>
      <c r="M186" s="462"/>
      <c r="O186" s="43"/>
      <c r="P186" s="43"/>
      <c r="Q186" s="43"/>
    </row>
    <row r="187" spans="1:17" s="40" customFormat="1" ht="21.75" customHeight="1">
      <c r="A187" s="43"/>
      <c r="B187" s="48"/>
      <c r="C187" s="44"/>
      <c r="D187" s="48"/>
      <c r="E187" s="44"/>
      <c r="F187" s="469"/>
      <c r="I187" s="462"/>
      <c r="J187" s="48"/>
      <c r="K187" s="462"/>
      <c r="M187" s="462"/>
      <c r="O187" s="43"/>
      <c r="P187" s="43"/>
      <c r="Q187" s="43"/>
    </row>
    <row r="188" spans="1:17" s="40" customFormat="1" ht="21.75" customHeight="1">
      <c r="A188" s="43"/>
      <c r="B188" s="48"/>
      <c r="C188" s="44"/>
      <c r="D188" s="48"/>
      <c r="E188" s="44"/>
      <c r="F188" s="469"/>
      <c r="I188" s="462"/>
      <c r="J188" s="48"/>
      <c r="K188" s="462"/>
      <c r="M188" s="462"/>
      <c r="O188" s="43"/>
      <c r="P188" s="43"/>
      <c r="Q188" s="43"/>
    </row>
    <row r="189" spans="1:17" s="40" customFormat="1" ht="21.75" customHeight="1">
      <c r="A189" s="43"/>
      <c r="B189" s="48"/>
      <c r="C189" s="44"/>
      <c r="D189" s="48"/>
      <c r="E189" s="44"/>
      <c r="F189" s="469"/>
      <c r="I189" s="462"/>
      <c r="J189" s="48"/>
      <c r="K189" s="462"/>
      <c r="M189" s="462"/>
      <c r="O189" s="43"/>
      <c r="P189" s="43"/>
      <c r="Q189" s="43"/>
    </row>
    <row r="190" spans="1:17" s="40" customFormat="1" ht="21.75" customHeight="1">
      <c r="A190" s="43"/>
      <c r="B190" s="48"/>
      <c r="C190" s="44"/>
      <c r="D190" s="48"/>
      <c r="E190" s="44"/>
      <c r="F190" s="469"/>
      <c r="I190" s="462"/>
      <c r="J190" s="48"/>
      <c r="K190" s="462"/>
      <c r="M190" s="462"/>
      <c r="O190" s="43"/>
      <c r="P190" s="43"/>
      <c r="Q190" s="43"/>
    </row>
    <row r="191" spans="1:17" s="40" customFormat="1" ht="21.75" customHeight="1">
      <c r="A191" s="43"/>
      <c r="B191" s="48"/>
      <c r="C191" s="44"/>
      <c r="D191" s="48"/>
      <c r="E191" s="44"/>
      <c r="F191" s="469"/>
      <c r="I191" s="462"/>
      <c r="J191" s="48"/>
      <c r="K191" s="462"/>
      <c r="M191" s="462"/>
      <c r="O191" s="43"/>
      <c r="P191" s="43"/>
      <c r="Q191" s="43"/>
    </row>
    <row r="192" spans="1:17" s="40" customFormat="1" ht="21.75" customHeight="1">
      <c r="A192" s="43"/>
      <c r="B192" s="48"/>
      <c r="C192" s="44"/>
      <c r="D192" s="48"/>
      <c r="E192" s="44"/>
      <c r="F192" s="469"/>
      <c r="I192" s="462"/>
      <c r="J192" s="48"/>
      <c r="K192" s="462"/>
      <c r="M192" s="462"/>
      <c r="O192" s="43"/>
      <c r="P192" s="43"/>
      <c r="Q192" s="43"/>
    </row>
    <row r="193" spans="1:17" s="40" customFormat="1" ht="21.75" customHeight="1">
      <c r="A193" s="43"/>
      <c r="B193" s="48"/>
      <c r="C193" s="44"/>
      <c r="D193" s="48"/>
      <c r="E193" s="44"/>
      <c r="F193" s="469"/>
      <c r="I193" s="462"/>
      <c r="J193" s="48"/>
      <c r="K193" s="462"/>
      <c r="M193" s="462"/>
      <c r="O193" s="43"/>
      <c r="P193" s="43"/>
      <c r="Q193" s="43"/>
    </row>
    <row r="194" spans="1:17" s="40" customFormat="1" ht="21.75" customHeight="1">
      <c r="A194" s="43"/>
      <c r="B194" s="48"/>
      <c r="C194" s="44"/>
      <c r="D194" s="48"/>
      <c r="E194" s="44"/>
      <c r="F194" s="469"/>
      <c r="I194" s="462"/>
      <c r="J194" s="48"/>
      <c r="K194" s="462"/>
      <c r="M194" s="462"/>
      <c r="O194" s="43"/>
      <c r="P194" s="43"/>
      <c r="Q194" s="43"/>
    </row>
    <row r="195" spans="1:17" s="40" customFormat="1" ht="21.75" customHeight="1">
      <c r="A195" s="43"/>
      <c r="B195" s="48"/>
      <c r="C195" s="44"/>
      <c r="D195" s="48"/>
      <c r="E195" s="44"/>
      <c r="F195" s="469"/>
      <c r="I195" s="462"/>
      <c r="J195" s="48"/>
      <c r="K195" s="462"/>
      <c r="M195" s="462"/>
      <c r="O195" s="43"/>
      <c r="P195" s="43"/>
      <c r="Q195" s="43"/>
    </row>
    <row r="196" spans="1:17" s="40" customFormat="1" ht="21.75" customHeight="1">
      <c r="A196" s="43"/>
      <c r="B196" s="48"/>
      <c r="C196" s="44"/>
      <c r="D196" s="48"/>
      <c r="E196" s="44"/>
      <c r="F196" s="469"/>
      <c r="I196" s="462"/>
      <c r="J196" s="48"/>
      <c r="K196" s="462"/>
      <c r="M196" s="462"/>
      <c r="O196" s="43"/>
      <c r="P196" s="43"/>
      <c r="Q196" s="43"/>
    </row>
    <row r="197" spans="1:17" s="40" customFormat="1" ht="21.75" customHeight="1">
      <c r="A197" s="43"/>
      <c r="B197" s="48"/>
      <c r="C197" s="44"/>
      <c r="D197" s="48"/>
      <c r="E197" s="44"/>
      <c r="F197" s="469"/>
      <c r="I197" s="462"/>
      <c r="J197" s="48"/>
      <c r="K197" s="462"/>
      <c r="M197" s="462"/>
      <c r="O197" s="43"/>
      <c r="P197" s="43"/>
      <c r="Q197" s="43"/>
    </row>
    <row r="198" spans="1:17" s="40" customFormat="1" ht="21.75" customHeight="1">
      <c r="A198" s="43"/>
      <c r="B198" s="48"/>
      <c r="C198" s="44"/>
      <c r="D198" s="48"/>
      <c r="E198" s="44"/>
      <c r="F198" s="469"/>
      <c r="I198" s="462"/>
      <c r="J198" s="48"/>
      <c r="K198" s="462"/>
      <c r="M198" s="462"/>
      <c r="O198" s="43"/>
      <c r="P198" s="43"/>
      <c r="Q198" s="43"/>
    </row>
    <row r="199" spans="1:17" s="40" customFormat="1" ht="21.75" customHeight="1">
      <c r="A199" s="43"/>
      <c r="B199" s="48"/>
      <c r="C199" s="44"/>
      <c r="D199" s="48"/>
      <c r="E199" s="44"/>
      <c r="F199" s="469"/>
      <c r="I199" s="462"/>
      <c r="J199" s="48"/>
      <c r="K199" s="462"/>
      <c r="M199" s="462"/>
      <c r="O199" s="43"/>
      <c r="P199" s="43"/>
      <c r="Q199" s="43"/>
    </row>
    <row r="200" spans="1:17" s="40" customFormat="1" ht="21.75" customHeight="1">
      <c r="A200" s="43"/>
      <c r="B200" s="48"/>
      <c r="C200" s="44"/>
      <c r="D200" s="48"/>
      <c r="E200" s="44"/>
      <c r="F200" s="469"/>
      <c r="I200" s="462"/>
      <c r="J200" s="48"/>
      <c r="K200" s="462"/>
      <c r="M200" s="462"/>
      <c r="O200" s="43"/>
      <c r="P200" s="43"/>
      <c r="Q200" s="43"/>
    </row>
    <row r="201" spans="1:17" s="40" customFormat="1" ht="21.75" customHeight="1">
      <c r="A201" s="43"/>
      <c r="B201" s="48"/>
      <c r="C201" s="44"/>
      <c r="D201" s="48"/>
      <c r="E201" s="44"/>
      <c r="F201" s="469"/>
      <c r="I201" s="462"/>
      <c r="J201" s="48"/>
      <c r="K201" s="462"/>
      <c r="M201" s="462"/>
      <c r="O201" s="43"/>
      <c r="P201" s="43"/>
      <c r="Q201" s="43"/>
    </row>
    <row r="202" spans="1:17" s="40" customFormat="1" ht="21.75" customHeight="1">
      <c r="A202" s="43"/>
      <c r="B202" s="48"/>
      <c r="C202" s="44"/>
      <c r="D202" s="48"/>
      <c r="E202" s="44"/>
      <c r="F202" s="469"/>
      <c r="I202" s="462"/>
      <c r="J202" s="48"/>
      <c r="K202" s="462"/>
      <c r="M202" s="462"/>
      <c r="O202" s="43"/>
      <c r="P202" s="43"/>
      <c r="Q202" s="43"/>
    </row>
    <row r="203" spans="1:17" s="40" customFormat="1" ht="21.75" customHeight="1">
      <c r="A203" s="43"/>
      <c r="B203" s="48"/>
      <c r="C203" s="44"/>
      <c r="D203" s="48"/>
      <c r="E203" s="44"/>
      <c r="F203" s="469"/>
      <c r="I203" s="462"/>
      <c r="J203" s="48"/>
      <c r="K203" s="462"/>
      <c r="M203" s="462"/>
      <c r="O203" s="43"/>
      <c r="P203" s="43"/>
      <c r="Q203" s="43"/>
    </row>
    <row r="204" spans="1:17" s="40" customFormat="1" ht="21.75" customHeight="1">
      <c r="A204" s="43"/>
      <c r="B204" s="48"/>
      <c r="C204" s="44"/>
      <c r="D204" s="48"/>
      <c r="E204" s="44"/>
      <c r="F204" s="469"/>
      <c r="I204" s="462"/>
      <c r="J204" s="48"/>
      <c r="K204" s="462"/>
      <c r="M204" s="462"/>
      <c r="O204" s="43"/>
      <c r="P204" s="43"/>
      <c r="Q204" s="43"/>
    </row>
    <row r="205" spans="1:17" s="40" customFormat="1" ht="21.75" customHeight="1">
      <c r="A205" s="43"/>
      <c r="B205" s="48"/>
      <c r="C205" s="44"/>
      <c r="D205" s="48"/>
      <c r="E205" s="44"/>
      <c r="F205" s="469"/>
      <c r="I205" s="462"/>
      <c r="J205" s="48"/>
      <c r="K205" s="462"/>
      <c r="M205" s="462"/>
      <c r="O205" s="43"/>
      <c r="P205" s="43"/>
      <c r="Q205" s="43"/>
    </row>
  </sheetData>
  <sheetProtection algorithmName="SHA-512" hashValue="5qB1+afNO36vYG17aEzEQuOLF7T87rB9keHe0ZJsZphKnm8Z+O5xCnSMqowcjM7+UhPTFWCxKIrrLZaiRaZlaw==" saltValue="oPNw6cnDLHDLXVqpv3mjLQ==" spinCount="100000" sheet="1" objects="1" scenarios="1"/>
  <mergeCells count="14">
    <mergeCell ref="K5:L5"/>
    <mergeCell ref="M5:N5"/>
    <mergeCell ref="A5:A6"/>
    <mergeCell ref="B5:C5"/>
    <mergeCell ref="D5:E5"/>
    <mergeCell ref="F5:G5"/>
    <mergeCell ref="H5:H6"/>
    <mergeCell ref="I5:J5"/>
    <mergeCell ref="A1:N1"/>
    <mergeCell ref="A2:N2"/>
    <mergeCell ref="A3:C3"/>
    <mergeCell ref="M3:N3"/>
    <mergeCell ref="A4:G4"/>
    <mergeCell ref="H4:N4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scale="71" firstPageNumber="18" fitToHeight="0" orientation="landscape" useFirstPageNumber="1" r:id="rId1"/>
  <headerFooter scaleWithDoc="0" alignWithMargins="0"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1:K12"/>
  <sheetViews>
    <sheetView view="pageBreakPreview" zoomScaleNormal="100" zoomScaleSheetLayoutView="100" workbookViewId="0">
      <selection activeCell="V20" sqref="V20"/>
    </sheetView>
  </sheetViews>
  <sheetFormatPr defaultRowHeight="16.5"/>
  <sheetData>
    <row r="11" spans="1:11" ht="61.5" customHeight="1">
      <c r="A11" s="1879"/>
      <c r="B11" s="1879"/>
      <c r="C11" s="1879"/>
      <c r="D11" s="1879"/>
      <c r="E11" s="1879"/>
      <c r="F11" s="1879"/>
      <c r="G11" s="1879"/>
      <c r="H11" s="1879"/>
      <c r="I11" s="1879"/>
      <c r="J11" s="1879"/>
      <c r="K11" s="1879"/>
    </row>
    <row r="12" spans="1:11" ht="16.5" customHeight="1"/>
  </sheetData>
  <mergeCells count="1">
    <mergeCell ref="A11:K11"/>
  </mergeCells>
  <phoneticPr fontId="2" type="noConversion"/>
  <printOptions horizontalCentered="1"/>
  <pageMargins left="0.78740157480314965" right="0.78740157480314965" top="0.78740157480314965" bottom="0.78740157480314965" header="0.78740157480314965" footer="0.78740157480314965"/>
  <pageSetup paperSize="9" firstPageNumber="22" orientation="landscape" useFirstPageNumber="1" r:id="rId1"/>
  <headerFooter scaleWithDoc="0">
    <oddFooter>&amp;C&amp;P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99FF"/>
    <pageSetUpPr fitToPage="1"/>
  </sheetPr>
  <dimension ref="A1:S322"/>
  <sheetViews>
    <sheetView view="pageBreakPreview" zoomScale="85" zoomScaleNormal="85" zoomScaleSheetLayoutView="85" workbookViewId="0">
      <selection activeCell="V20" sqref="V20"/>
    </sheetView>
  </sheetViews>
  <sheetFormatPr defaultColWidth="9" defaultRowHeight="13.5"/>
  <cols>
    <col min="1" max="1" width="3.625" style="826" customWidth="1"/>
    <col min="2" max="4" width="3.625" style="825" customWidth="1"/>
    <col min="5" max="5" width="10.625" style="826" customWidth="1"/>
    <col min="6" max="6" width="20.625" style="826" customWidth="1"/>
    <col min="7" max="7" width="14.75" style="827" customWidth="1"/>
    <col min="8" max="8" width="2.125" style="826" customWidth="1"/>
    <col min="9" max="9" width="5.75" style="826" bestFit="1" customWidth="1"/>
    <col min="10" max="10" width="2.125" style="826" customWidth="1"/>
    <col min="11" max="11" width="2.625" style="828" customWidth="1"/>
    <col min="12" max="12" width="15.5" style="826" customWidth="1"/>
    <col min="13" max="13" width="10.625" style="829" customWidth="1"/>
    <col min="14" max="15" width="10.625" style="830" customWidth="1"/>
    <col min="16" max="16" width="10.625" style="912" customWidth="1"/>
    <col min="17" max="17" width="9" style="826"/>
    <col min="18" max="18" width="14.25" style="826" bestFit="1" customWidth="1"/>
    <col min="19" max="19" width="14.375" style="826" bestFit="1" customWidth="1"/>
    <col min="20" max="16384" width="9" style="826"/>
  </cols>
  <sheetData>
    <row r="1" spans="1:18" s="824" customFormat="1" ht="35.1" customHeight="1">
      <c r="A1" s="1935" t="s">
        <v>541</v>
      </c>
      <c r="B1" s="1935"/>
      <c r="C1" s="1935"/>
      <c r="D1" s="1935"/>
      <c r="E1" s="1935"/>
      <c r="F1" s="1935"/>
      <c r="G1" s="1935"/>
      <c r="H1" s="1935"/>
      <c r="I1" s="1935"/>
      <c r="J1" s="1935"/>
      <c r="K1" s="1935"/>
      <c r="L1" s="1935"/>
      <c r="M1" s="1935"/>
      <c r="N1" s="1935"/>
      <c r="O1" s="1935"/>
      <c r="P1" s="1935"/>
    </row>
    <row r="2" spans="1:18" ht="15" customHeight="1" thickBot="1">
      <c r="A2" s="824" t="s">
        <v>89</v>
      </c>
      <c r="O2" s="1936" t="s">
        <v>90</v>
      </c>
      <c r="P2" s="1936"/>
    </row>
    <row r="3" spans="1:18" s="831" customFormat="1" ht="15" customHeight="1">
      <c r="A3" s="1937" t="s">
        <v>91</v>
      </c>
      <c r="B3" s="1938"/>
      <c r="C3" s="1938"/>
      <c r="D3" s="1938"/>
      <c r="E3" s="1939"/>
      <c r="F3" s="1741"/>
      <c r="G3" s="1940" t="s">
        <v>92</v>
      </c>
      <c r="H3" s="1940"/>
      <c r="I3" s="1940"/>
      <c r="J3" s="1940"/>
      <c r="K3" s="1940"/>
      <c r="L3" s="1941"/>
      <c r="M3" s="1944" t="s">
        <v>93</v>
      </c>
      <c r="N3" s="1946" t="s">
        <v>94</v>
      </c>
      <c r="O3" s="1948" t="s">
        <v>95</v>
      </c>
      <c r="P3" s="1950" t="s">
        <v>96</v>
      </c>
    </row>
    <row r="4" spans="1:18" s="831" customFormat="1" ht="15" customHeight="1" thickBot="1">
      <c r="A4" s="1742" t="s">
        <v>97</v>
      </c>
      <c r="B4" s="1743" t="s">
        <v>98</v>
      </c>
      <c r="C4" s="1743" t="s">
        <v>99</v>
      </c>
      <c r="D4" s="1743" t="s">
        <v>100</v>
      </c>
      <c r="E4" s="1743" t="s">
        <v>101</v>
      </c>
      <c r="F4" s="1744" t="s">
        <v>102</v>
      </c>
      <c r="G4" s="1942"/>
      <c r="H4" s="1942"/>
      <c r="I4" s="1942"/>
      <c r="J4" s="1942"/>
      <c r="K4" s="1942"/>
      <c r="L4" s="1943"/>
      <c r="M4" s="1945"/>
      <c r="N4" s="1947"/>
      <c r="O4" s="1949"/>
      <c r="P4" s="1951"/>
    </row>
    <row r="5" spans="1:18" s="824" customFormat="1" ht="15" customHeight="1" thickBot="1">
      <c r="A5" s="832" t="s">
        <v>2611</v>
      </c>
      <c r="B5" s="833"/>
      <c r="C5" s="834"/>
      <c r="D5" s="834"/>
      <c r="E5" s="834"/>
      <c r="F5" s="834"/>
      <c r="G5" s="835"/>
      <c r="H5" s="834"/>
      <c r="I5" s="834"/>
      <c r="J5" s="834"/>
      <c r="K5" s="836"/>
      <c r="L5" s="834"/>
      <c r="M5" s="837">
        <f>M6+M19</f>
        <v>1900720000</v>
      </c>
      <c r="N5" s="837">
        <f>N6+N19</f>
        <v>1687052841</v>
      </c>
      <c r="O5" s="837">
        <f>+M5-N5</f>
        <v>213667159</v>
      </c>
      <c r="P5" s="838">
        <f>+O5/N5</f>
        <v>0.12665113611577741</v>
      </c>
      <c r="R5" s="839"/>
    </row>
    <row r="6" spans="1:18" s="824" customFormat="1" ht="15" customHeight="1">
      <c r="A6" s="840"/>
      <c r="B6" s="841" t="s">
        <v>103</v>
      </c>
      <c r="C6" s="842"/>
      <c r="D6" s="842"/>
      <c r="E6" s="843"/>
      <c r="F6" s="843"/>
      <c r="G6" s="844"/>
      <c r="H6" s="843"/>
      <c r="I6" s="843"/>
      <c r="J6" s="843"/>
      <c r="K6" s="845"/>
      <c r="L6" s="843"/>
      <c r="M6" s="846">
        <f>SUM(M7)</f>
        <v>1600720000</v>
      </c>
      <c r="N6" s="846">
        <f>SUM(N7)</f>
        <v>1605728000</v>
      </c>
      <c r="O6" s="846">
        <f>+M6-N6</f>
        <v>-5008000</v>
      </c>
      <c r="P6" s="847">
        <f>+O6/N6</f>
        <v>-3.1188345722314116E-3</v>
      </c>
    </row>
    <row r="7" spans="1:18" s="824" customFormat="1" ht="15" customHeight="1">
      <c r="A7" s="840"/>
      <c r="B7" s="848"/>
      <c r="C7" s="849" t="s">
        <v>104</v>
      </c>
      <c r="D7" s="850"/>
      <c r="E7" s="851"/>
      <c r="F7" s="851"/>
      <c r="G7" s="852"/>
      <c r="H7" s="851"/>
      <c r="I7" s="851"/>
      <c r="J7" s="851"/>
      <c r="K7" s="853"/>
      <c r="L7" s="851"/>
      <c r="M7" s="854">
        <f>SUM(M8,M12,M15)</f>
        <v>1600720000</v>
      </c>
      <c r="N7" s="854">
        <f>SUM(N8,N12,N15)</f>
        <v>1605728000</v>
      </c>
      <c r="O7" s="854">
        <f>+M7-N7</f>
        <v>-5008000</v>
      </c>
      <c r="P7" s="855">
        <f>+O7/N7</f>
        <v>-3.1188345722314116E-3</v>
      </c>
    </row>
    <row r="8" spans="1:18" s="824" customFormat="1" ht="15" customHeight="1">
      <c r="A8" s="840"/>
      <c r="B8" s="848"/>
      <c r="C8" s="856"/>
      <c r="D8" s="850" t="s">
        <v>105</v>
      </c>
      <c r="E8" s="851"/>
      <c r="F8" s="851"/>
      <c r="G8" s="852"/>
      <c r="H8" s="851"/>
      <c r="I8" s="851"/>
      <c r="J8" s="851"/>
      <c r="K8" s="853"/>
      <c r="L8" s="851"/>
      <c r="M8" s="854">
        <f>M9</f>
        <v>720000</v>
      </c>
      <c r="N8" s="854">
        <f>N9</f>
        <v>200000</v>
      </c>
      <c r="O8" s="854">
        <f>+M8-N8</f>
        <v>520000</v>
      </c>
      <c r="P8" s="855">
        <f>+O8/N8</f>
        <v>2.6</v>
      </c>
    </row>
    <row r="9" spans="1:18" ht="15" customHeight="1">
      <c r="A9" s="857"/>
      <c r="B9" s="858"/>
      <c r="C9" s="859"/>
      <c r="D9" s="860"/>
      <c r="E9" s="861" t="s">
        <v>106</v>
      </c>
      <c r="F9" s="861"/>
      <c r="G9" s="862"/>
      <c r="H9" s="861"/>
      <c r="I9" s="861"/>
      <c r="J9" s="861"/>
      <c r="K9" s="863"/>
      <c r="L9" s="861"/>
      <c r="M9" s="374">
        <f>ROUNDUP(L10,-3)</f>
        <v>720000</v>
      </c>
      <c r="N9" s="374">
        <v>200000</v>
      </c>
      <c r="O9" s="374">
        <f>+M9-N9</f>
        <v>520000</v>
      </c>
      <c r="P9" s="864">
        <f>+O9/N9</f>
        <v>2.6</v>
      </c>
    </row>
    <row r="10" spans="1:18" ht="15" customHeight="1">
      <c r="A10" s="857"/>
      <c r="B10" s="858"/>
      <c r="C10" s="859"/>
      <c r="D10" s="858"/>
      <c r="E10" s="339"/>
      <c r="F10" s="339" t="s">
        <v>107</v>
      </c>
      <c r="G10" s="865"/>
      <c r="H10" s="339"/>
      <c r="I10" s="339"/>
      <c r="J10" s="339"/>
      <c r="K10" s="866"/>
      <c r="L10" s="867">
        <f>SUM(L11:L11)</f>
        <v>720000</v>
      </c>
      <c r="M10" s="388"/>
      <c r="N10" s="868"/>
      <c r="O10" s="388"/>
      <c r="P10" s="869"/>
    </row>
    <row r="11" spans="1:18" ht="15" customHeight="1">
      <c r="A11" s="857"/>
      <c r="B11" s="858"/>
      <c r="C11" s="859"/>
      <c r="D11" s="870"/>
      <c r="E11" s="340"/>
      <c r="F11" s="340" t="s">
        <v>108</v>
      </c>
      <c r="G11" s="871">
        <v>720000</v>
      </c>
      <c r="H11" s="339" t="s">
        <v>109</v>
      </c>
      <c r="I11" s="1270">
        <v>1</v>
      </c>
      <c r="J11" s="339"/>
      <c r="K11" s="866" t="s">
        <v>110</v>
      </c>
      <c r="L11" s="873">
        <f>G11*I11</f>
        <v>720000</v>
      </c>
      <c r="M11" s="388"/>
      <c r="N11" s="868"/>
      <c r="O11" s="388"/>
      <c r="P11" s="869"/>
    </row>
    <row r="12" spans="1:18" s="824" customFormat="1" ht="15" customHeight="1">
      <c r="A12" s="840"/>
      <c r="B12" s="848"/>
      <c r="C12" s="856"/>
      <c r="D12" s="850" t="s">
        <v>111</v>
      </c>
      <c r="E12" s="851"/>
      <c r="F12" s="851"/>
      <c r="G12" s="852"/>
      <c r="H12" s="851"/>
      <c r="I12" s="851"/>
      <c r="J12" s="851"/>
      <c r="K12" s="853"/>
      <c r="L12" s="851"/>
      <c r="M12" s="854">
        <f>M13</f>
        <v>0</v>
      </c>
      <c r="N12" s="854">
        <f>N13</f>
        <v>853000000</v>
      </c>
      <c r="O12" s="854">
        <f>+M12-N12</f>
        <v>-853000000</v>
      </c>
      <c r="P12" s="855">
        <f>+O12/N12</f>
        <v>-1</v>
      </c>
      <c r="R12" s="874"/>
    </row>
    <row r="13" spans="1:18" ht="15" customHeight="1">
      <c r="A13" s="857"/>
      <c r="B13" s="858"/>
      <c r="C13" s="859"/>
      <c r="D13" s="860"/>
      <c r="E13" s="861" t="s">
        <v>112</v>
      </c>
      <c r="F13" s="861"/>
      <c r="G13" s="862"/>
      <c r="H13" s="861"/>
      <c r="I13" s="861"/>
      <c r="J13" s="861"/>
      <c r="K13" s="863"/>
      <c r="L13" s="861"/>
      <c r="M13" s="374">
        <f>ROUNDUP(L14,-3)</f>
        <v>0</v>
      </c>
      <c r="N13" s="374">
        <v>853000000</v>
      </c>
      <c r="O13" s="374">
        <f>+M13-N13</f>
        <v>-853000000</v>
      </c>
      <c r="P13" s="864">
        <f>+O13/N13</f>
        <v>-1</v>
      </c>
    </row>
    <row r="14" spans="1:18" ht="15" customHeight="1">
      <c r="A14" s="857"/>
      <c r="B14" s="858"/>
      <c r="C14" s="859"/>
      <c r="D14" s="858"/>
      <c r="E14" s="339"/>
      <c r="F14" s="875"/>
      <c r="G14" s="876"/>
      <c r="H14" s="875"/>
      <c r="I14" s="875"/>
      <c r="J14" s="875"/>
      <c r="K14" s="877"/>
      <c r="L14" s="878"/>
      <c r="M14" s="388"/>
      <c r="N14" s="868"/>
      <c r="O14" s="388"/>
      <c r="P14" s="869"/>
      <c r="R14" s="879"/>
    </row>
    <row r="15" spans="1:18" s="824" customFormat="1" ht="15" customHeight="1">
      <c r="A15" s="840"/>
      <c r="B15" s="848"/>
      <c r="C15" s="856"/>
      <c r="D15" s="850" t="s">
        <v>113</v>
      </c>
      <c r="E15" s="851"/>
      <c r="F15" s="851"/>
      <c r="G15" s="852"/>
      <c r="H15" s="851"/>
      <c r="I15" s="851"/>
      <c r="J15" s="851"/>
      <c r="K15" s="853"/>
      <c r="L15" s="851"/>
      <c r="M15" s="854">
        <f>SUM(M16:M18)</f>
        <v>1600000000</v>
      </c>
      <c r="N15" s="854">
        <f>N16</f>
        <v>752528000</v>
      </c>
      <c r="O15" s="854">
        <f>+M15-N15</f>
        <v>847472000</v>
      </c>
      <c r="P15" s="855">
        <f>+O15/N15</f>
        <v>1.1261667339952799</v>
      </c>
      <c r="R15" s="880"/>
    </row>
    <row r="16" spans="1:18" ht="15" customHeight="1">
      <c r="A16" s="857"/>
      <c r="B16" s="858"/>
      <c r="C16" s="859"/>
      <c r="D16" s="860"/>
      <c r="E16" s="861" t="s">
        <v>20</v>
      </c>
      <c r="F16" s="861"/>
      <c r="G16" s="862"/>
      <c r="H16" s="861"/>
      <c r="I16" s="861"/>
      <c r="J16" s="861"/>
      <c r="K16" s="863"/>
      <c r="L16" s="861"/>
      <c r="M16" s="374">
        <f>ROUNDUP(L17,-3)</f>
        <v>1600000000</v>
      </c>
      <c r="N16" s="374">
        <v>752528000</v>
      </c>
      <c r="O16" s="374">
        <f>+M16-N16</f>
        <v>847472000</v>
      </c>
      <c r="P16" s="864">
        <f>+O16/N16</f>
        <v>1.1261667339952799</v>
      </c>
    </row>
    <row r="17" spans="1:19" ht="15" customHeight="1">
      <c r="A17" s="857"/>
      <c r="B17" s="858"/>
      <c r="C17" s="859"/>
      <c r="D17" s="858"/>
      <c r="E17" s="881"/>
      <c r="F17" s="882" t="s">
        <v>114</v>
      </c>
      <c r="G17" s="883"/>
      <c r="H17" s="882"/>
      <c r="I17" s="882"/>
      <c r="J17" s="882"/>
      <c r="K17" s="884"/>
      <c r="L17" s="885">
        <f>SUM(L18:L18)</f>
        <v>1600000000</v>
      </c>
      <c r="M17" s="388"/>
      <c r="N17" s="868"/>
      <c r="O17" s="388"/>
      <c r="P17" s="869"/>
    </row>
    <row r="18" spans="1:19" ht="15" customHeight="1">
      <c r="A18" s="857"/>
      <c r="B18" s="858"/>
      <c r="C18" s="859"/>
      <c r="D18" s="870"/>
      <c r="E18" s="886"/>
      <c r="F18" s="887" t="s">
        <v>2409</v>
      </c>
      <c r="G18" s="888">
        <v>1600000000</v>
      </c>
      <c r="H18" s="882" t="s">
        <v>109</v>
      </c>
      <c r="I18" s="889">
        <v>1</v>
      </c>
      <c r="J18" s="882"/>
      <c r="K18" s="884" t="s">
        <v>110</v>
      </c>
      <c r="L18" s="890">
        <f>G18</f>
        <v>1600000000</v>
      </c>
      <c r="M18" s="388"/>
      <c r="N18" s="868"/>
      <c r="O18" s="388"/>
      <c r="P18" s="869"/>
      <c r="R18" s="891"/>
    </row>
    <row r="19" spans="1:19" s="824" customFormat="1" ht="15" customHeight="1">
      <c r="A19" s="840"/>
      <c r="B19" s="850" t="s">
        <v>115</v>
      </c>
      <c r="C19" s="849"/>
      <c r="D19" s="849"/>
      <c r="E19" s="851"/>
      <c r="F19" s="851"/>
      <c r="G19" s="852"/>
      <c r="H19" s="851"/>
      <c r="I19" s="851"/>
      <c r="J19" s="851"/>
      <c r="K19" s="853"/>
      <c r="L19" s="851"/>
      <c r="M19" s="854">
        <f>M20</f>
        <v>300000000</v>
      </c>
      <c r="N19" s="854">
        <f>SUM(N20)</f>
        <v>81324841</v>
      </c>
      <c r="O19" s="854">
        <f>+M19-N19</f>
        <v>218675159</v>
      </c>
      <c r="P19" s="855">
        <f>+O19/N19</f>
        <v>2.6889097637461106</v>
      </c>
      <c r="S19" s="880"/>
    </row>
    <row r="20" spans="1:19" ht="15" customHeight="1">
      <c r="A20" s="857"/>
      <c r="B20" s="848"/>
      <c r="C20" s="849" t="s">
        <v>116</v>
      </c>
      <c r="D20" s="850"/>
      <c r="E20" s="851"/>
      <c r="F20" s="851"/>
      <c r="G20" s="852"/>
      <c r="H20" s="851"/>
      <c r="I20" s="851"/>
      <c r="J20" s="851"/>
      <c r="K20" s="853"/>
      <c r="L20" s="851"/>
      <c r="M20" s="854">
        <f>M21+M25</f>
        <v>300000000</v>
      </c>
      <c r="N20" s="854">
        <f>N21+N25</f>
        <v>81324841</v>
      </c>
      <c r="O20" s="854">
        <f>+M20-N20</f>
        <v>218675159</v>
      </c>
      <c r="P20" s="855">
        <f>+O20/N20</f>
        <v>2.6889097637461106</v>
      </c>
    </row>
    <row r="21" spans="1:19" ht="15" customHeight="1">
      <c r="A21" s="857"/>
      <c r="B21" s="848"/>
      <c r="C21" s="856"/>
      <c r="D21" s="850" t="s">
        <v>542</v>
      </c>
      <c r="E21" s="851"/>
      <c r="F21" s="851"/>
      <c r="G21" s="852"/>
      <c r="H21" s="851"/>
      <c r="I21" s="851"/>
      <c r="J21" s="851"/>
      <c r="K21" s="853"/>
      <c r="L21" s="851"/>
      <c r="M21" s="854">
        <f>SUM(M22)</f>
        <v>0</v>
      </c>
      <c r="N21" s="854">
        <f>SUM(N22)</f>
        <v>0</v>
      </c>
      <c r="O21" s="854">
        <f>+M21-N21</f>
        <v>0</v>
      </c>
      <c r="P21" s="855">
        <v>0</v>
      </c>
    </row>
    <row r="22" spans="1:19" ht="15" hidden="1" customHeight="1">
      <c r="A22" s="857"/>
      <c r="B22" s="858"/>
      <c r="C22" s="859"/>
      <c r="D22" s="860"/>
      <c r="E22" s="861" t="s">
        <v>2433</v>
      </c>
      <c r="F22" s="861"/>
      <c r="G22" s="862"/>
      <c r="H22" s="861"/>
      <c r="I22" s="861"/>
      <c r="J22" s="861"/>
      <c r="K22" s="863"/>
      <c r="L22" s="861"/>
      <c r="M22" s="374">
        <f>SUM(L23)</f>
        <v>0</v>
      </c>
      <c r="N22" s="374">
        <v>0</v>
      </c>
      <c r="O22" s="374">
        <f>+M22-N22</f>
        <v>0</v>
      </c>
      <c r="P22" s="864">
        <v>0</v>
      </c>
    </row>
    <row r="23" spans="1:19" ht="15" hidden="1" customHeight="1">
      <c r="A23" s="857"/>
      <c r="B23" s="858"/>
      <c r="C23" s="859"/>
      <c r="D23" s="858"/>
      <c r="E23" s="339"/>
      <c r="F23" s="339" t="s">
        <v>543</v>
      </c>
      <c r="G23" s="865"/>
      <c r="H23" s="339"/>
      <c r="I23" s="339"/>
      <c r="J23" s="339"/>
      <c r="K23" s="866"/>
      <c r="L23" s="867">
        <f>SUM(L24)</f>
        <v>0</v>
      </c>
      <c r="M23" s="388"/>
      <c r="N23" s="868"/>
      <c r="O23" s="388"/>
      <c r="P23" s="869"/>
    </row>
    <row r="24" spans="1:19" ht="15" hidden="1" customHeight="1">
      <c r="A24" s="857"/>
      <c r="B24" s="858"/>
      <c r="C24" s="859"/>
      <c r="D24" s="870"/>
      <c r="E24" s="892"/>
      <c r="F24" s="892" t="s">
        <v>544</v>
      </c>
      <c r="G24" s="893"/>
      <c r="H24" s="339" t="s">
        <v>109</v>
      </c>
      <c r="I24" s="894">
        <v>1</v>
      </c>
      <c r="J24" s="895"/>
      <c r="K24" s="896"/>
      <c r="L24" s="897">
        <f>G24*I24</f>
        <v>0</v>
      </c>
      <c r="M24" s="586"/>
      <c r="N24" s="898"/>
      <c r="O24" s="586"/>
      <c r="P24" s="899"/>
    </row>
    <row r="25" spans="1:19" ht="15" customHeight="1">
      <c r="A25" s="857"/>
      <c r="B25" s="848"/>
      <c r="C25" s="856"/>
      <c r="D25" s="850" t="s">
        <v>117</v>
      </c>
      <c r="E25" s="851"/>
      <c r="F25" s="851"/>
      <c r="G25" s="852"/>
      <c r="H25" s="851"/>
      <c r="I25" s="851"/>
      <c r="J25" s="851"/>
      <c r="K25" s="853"/>
      <c r="L25" s="851"/>
      <c r="M25" s="854">
        <f>SUM(M26)</f>
        <v>300000000</v>
      </c>
      <c r="N25" s="854">
        <f>N26</f>
        <v>81324841</v>
      </c>
      <c r="O25" s="854">
        <f>+M25-N25</f>
        <v>218675159</v>
      </c>
      <c r="P25" s="855">
        <f>+O25/N25</f>
        <v>2.6889097637461106</v>
      </c>
      <c r="S25" s="891"/>
    </row>
    <row r="26" spans="1:19" ht="15" customHeight="1">
      <c r="A26" s="857"/>
      <c r="B26" s="858"/>
      <c r="C26" s="859"/>
      <c r="D26" s="860"/>
      <c r="E26" s="861" t="s">
        <v>2434</v>
      </c>
      <c r="F26" s="861"/>
      <c r="G26" s="862"/>
      <c r="H26" s="861"/>
      <c r="I26" s="861"/>
      <c r="J26" s="861"/>
      <c r="K26" s="863"/>
      <c r="L26" s="861"/>
      <c r="M26" s="374">
        <f>SUM(L27)</f>
        <v>300000000</v>
      </c>
      <c r="N26" s="374">
        <v>81324841</v>
      </c>
      <c r="O26" s="374">
        <f>+M26-N26</f>
        <v>218675159</v>
      </c>
      <c r="P26" s="864">
        <f>+O26/N26</f>
        <v>2.6889097637461106</v>
      </c>
    </row>
    <row r="27" spans="1:19" ht="15" customHeight="1">
      <c r="A27" s="857"/>
      <c r="B27" s="858"/>
      <c r="C27" s="859"/>
      <c r="D27" s="858"/>
      <c r="E27" s="339"/>
      <c r="F27" s="339" t="s">
        <v>118</v>
      </c>
      <c r="G27" s="865"/>
      <c r="H27" s="339"/>
      <c r="I27" s="339"/>
      <c r="J27" s="339"/>
      <c r="K27" s="866"/>
      <c r="L27" s="867">
        <f>SUM(L28)</f>
        <v>300000000</v>
      </c>
      <c r="M27" s="388"/>
      <c r="N27" s="868"/>
      <c r="O27" s="388"/>
      <c r="P27" s="869"/>
    </row>
    <row r="28" spans="1:19" ht="15" customHeight="1" thickBot="1">
      <c r="A28" s="900"/>
      <c r="B28" s="901"/>
      <c r="C28" s="902"/>
      <c r="D28" s="901"/>
      <c r="E28" s="903"/>
      <c r="F28" s="903" t="s">
        <v>120</v>
      </c>
      <c r="G28" s="904">
        <v>300000000</v>
      </c>
      <c r="H28" s="905" t="s">
        <v>109</v>
      </c>
      <c r="I28" s="1781">
        <v>1</v>
      </c>
      <c r="J28" s="905"/>
      <c r="K28" s="907" t="s">
        <v>2436</v>
      </c>
      <c r="L28" s="908">
        <f>G28*I28</f>
        <v>300000000</v>
      </c>
      <c r="M28" s="909"/>
      <c r="N28" s="910"/>
      <c r="O28" s="909"/>
      <c r="P28" s="911"/>
    </row>
    <row r="29" spans="1:19" ht="15" customHeight="1"/>
    <row r="30" spans="1:19" ht="12" customHeight="1"/>
    <row r="31" spans="1:19" ht="12" customHeight="1"/>
    <row r="32" spans="1:19" ht="12" customHeight="1"/>
    <row r="33" spans="12:12" ht="12" customHeight="1">
      <c r="L33" s="913"/>
    </row>
    <row r="34" spans="12:12" ht="12" customHeight="1">
      <c r="L34" s="880"/>
    </row>
    <row r="35" spans="12:12" ht="12" customHeight="1"/>
    <row r="36" spans="12:12" ht="12" customHeight="1">
      <c r="L36" s="891"/>
    </row>
    <row r="37" spans="12:12" ht="12" customHeight="1"/>
    <row r="38" spans="12:12" ht="12" customHeight="1">
      <c r="L38" s="891"/>
    </row>
    <row r="39" spans="12:12" ht="12" customHeight="1"/>
    <row r="40" spans="12:12" ht="12" customHeight="1">
      <c r="L40" s="914"/>
    </row>
    <row r="41" spans="12:12" ht="12" customHeight="1"/>
    <row r="42" spans="12:12" ht="12" customHeight="1"/>
    <row r="43" spans="12:12" ht="12" customHeight="1">
      <c r="L43" s="891"/>
    </row>
    <row r="44" spans="12:12" ht="12" customHeight="1"/>
    <row r="45" spans="12:12" ht="12" customHeight="1">
      <c r="L45" s="891"/>
    </row>
    <row r="46" spans="12:12" ht="12" customHeight="1"/>
    <row r="47" spans="12:12" ht="12" customHeight="1"/>
    <row r="48" spans="12:12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322" spans="5:5">
      <c r="E322" s="826" t="s">
        <v>121</v>
      </c>
    </row>
  </sheetData>
  <mergeCells count="8">
    <mergeCell ref="A1:P1"/>
    <mergeCell ref="O2:P2"/>
    <mergeCell ref="A3:E3"/>
    <mergeCell ref="G3:L4"/>
    <mergeCell ref="M3:M4"/>
    <mergeCell ref="N3:N4"/>
    <mergeCell ref="O3:O4"/>
    <mergeCell ref="P3:P4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scale="90" firstPageNumber="23" fitToHeight="0" orientation="landscape" useFirstPageNumber="1" horizontalDpi="4294967293" r:id="rId1"/>
  <headerFooter>
    <oddFooter>&amp;C&amp;"돋움,Regular"&amp;P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99FF"/>
    <pageSetUpPr fitToPage="1"/>
  </sheetPr>
  <dimension ref="A1:V171"/>
  <sheetViews>
    <sheetView view="pageBreakPreview" zoomScale="85" zoomScaleNormal="85" zoomScaleSheetLayoutView="85" workbookViewId="0">
      <pane xSplit="3" ySplit="7" topLeftCell="D86" activePane="bottomRight" state="frozen"/>
      <selection activeCell="V20" sqref="V20"/>
      <selection pane="topRight" activeCell="V20" sqref="V20"/>
      <selection pane="bottomLeft" activeCell="V20" sqref="V20"/>
      <selection pane="bottomRight" activeCell="V20" sqref="V20"/>
    </sheetView>
  </sheetViews>
  <sheetFormatPr defaultColWidth="9" defaultRowHeight="13.5"/>
  <cols>
    <col min="1" max="1" width="3.625" style="917" customWidth="1"/>
    <col min="2" max="4" width="3.625" style="916" customWidth="1"/>
    <col min="5" max="5" width="10.625" style="917" customWidth="1"/>
    <col min="6" max="6" width="23.625" style="917" customWidth="1"/>
    <col min="7" max="7" width="11.5" style="918" bestFit="1" customWidth="1"/>
    <col min="8" max="8" width="2.125" style="917" customWidth="1"/>
    <col min="9" max="9" width="5.75" style="917" bestFit="1" customWidth="1"/>
    <col min="10" max="10" width="2.125" style="917" customWidth="1"/>
    <col min="11" max="11" width="4.875" style="917" bestFit="1" customWidth="1"/>
    <col min="12" max="12" width="2.75" style="917" customWidth="1"/>
    <col min="13" max="13" width="6" style="917" bestFit="1" customWidth="1"/>
    <col min="14" max="14" width="2.625" style="919" customWidth="1"/>
    <col min="15" max="15" width="14.625" style="918" bestFit="1" customWidth="1"/>
    <col min="16" max="16" width="10.625" style="920" customWidth="1"/>
    <col min="17" max="18" width="10.625" style="921" customWidth="1"/>
    <col min="19" max="19" width="10.625" style="988" customWidth="1"/>
    <col min="20" max="21" width="9" style="917"/>
    <col min="22" max="22" width="11.875" style="917" bestFit="1" customWidth="1"/>
    <col min="23" max="16384" width="9" style="917"/>
  </cols>
  <sheetData>
    <row r="1" spans="1:22" s="915" customFormat="1" ht="35.1" customHeight="1">
      <c r="A1" s="1952" t="s">
        <v>88</v>
      </c>
      <c r="B1" s="1952"/>
      <c r="C1" s="1952"/>
      <c r="D1" s="1952"/>
      <c r="E1" s="1952"/>
      <c r="F1" s="1952"/>
      <c r="G1" s="1952"/>
      <c r="H1" s="1952"/>
      <c r="I1" s="1952"/>
      <c r="J1" s="1952"/>
      <c r="K1" s="1952"/>
      <c r="L1" s="1952"/>
      <c r="M1" s="1952"/>
      <c r="N1" s="1952"/>
      <c r="O1" s="1952"/>
      <c r="P1" s="1952"/>
      <c r="Q1" s="1952"/>
      <c r="R1" s="1952"/>
      <c r="S1" s="1952"/>
    </row>
    <row r="2" spans="1:22" ht="15" customHeight="1" thickBot="1">
      <c r="A2" s="915" t="s">
        <v>292</v>
      </c>
      <c r="R2" s="1953" t="s">
        <v>293</v>
      </c>
      <c r="S2" s="1953"/>
    </row>
    <row r="3" spans="1:22" s="922" customFormat="1" ht="15" customHeight="1">
      <c r="A3" s="1954" t="s">
        <v>475</v>
      </c>
      <c r="B3" s="1955"/>
      <c r="C3" s="1955"/>
      <c r="D3" s="1955"/>
      <c r="E3" s="1955"/>
      <c r="F3" s="1745"/>
      <c r="G3" s="1956" t="s">
        <v>295</v>
      </c>
      <c r="H3" s="1956"/>
      <c r="I3" s="1956"/>
      <c r="J3" s="1956"/>
      <c r="K3" s="1956"/>
      <c r="L3" s="1956"/>
      <c r="M3" s="1956"/>
      <c r="N3" s="1956"/>
      <c r="O3" s="1957"/>
      <c r="P3" s="1960" t="s">
        <v>579</v>
      </c>
      <c r="Q3" s="1962" t="s">
        <v>94</v>
      </c>
      <c r="R3" s="1964" t="s">
        <v>497</v>
      </c>
      <c r="S3" s="1966" t="s">
        <v>298</v>
      </c>
    </row>
    <row r="4" spans="1:22" s="922" customFormat="1" ht="15" customHeight="1" thickBot="1">
      <c r="A4" s="1746" t="s">
        <v>299</v>
      </c>
      <c r="B4" s="1747" t="s">
        <v>300</v>
      </c>
      <c r="C4" s="1747" t="s">
        <v>301</v>
      </c>
      <c r="D4" s="1747" t="s">
        <v>580</v>
      </c>
      <c r="E4" s="1747" t="s">
        <v>478</v>
      </c>
      <c r="F4" s="1748" t="s">
        <v>479</v>
      </c>
      <c r="G4" s="1958"/>
      <c r="H4" s="1958"/>
      <c r="I4" s="1958"/>
      <c r="J4" s="1958"/>
      <c r="K4" s="1958"/>
      <c r="L4" s="1958"/>
      <c r="M4" s="1958"/>
      <c r="N4" s="1958"/>
      <c r="O4" s="1959"/>
      <c r="P4" s="1961"/>
      <c r="Q4" s="1963"/>
      <c r="R4" s="1965"/>
      <c r="S4" s="1967"/>
    </row>
    <row r="5" spans="1:22" s="926" customFormat="1" ht="15" customHeight="1" thickBot="1">
      <c r="A5" s="923" t="s">
        <v>66</v>
      </c>
      <c r="B5" s="924"/>
      <c r="C5" s="72"/>
      <c r="D5" s="72"/>
      <c r="E5" s="72"/>
      <c r="F5" s="72"/>
      <c r="G5" s="71"/>
      <c r="H5" s="72"/>
      <c r="I5" s="72"/>
      <c r="J5" s="72"/>
      <c r="K5" s="72"/>
      <c r="L5" s="72"/>
      <c r="M5" s="72"/>
      <c r="N5" s="74"/>
      <c r="O5" s="71"/>
      <c r="P5" s="75">
        <f>P6+P93</f>
        <v>1588140000</v>
      </c>
      <c r="Q5" s="75">
        <f>Q6+Q93</f>
        <v>1586392000</v>
      </c>
      <c r="R5" s="925">
        <f>+P5-Q5</f>
        <v>1748000</v>
      </c>
      <c r="S5" s="203">
        <f>+R5/Q5</f>
        <v>1.1018714163964518E-3</v>
      </c>
    </row>
    <row r="6" spans="1:22" s="915" customFormat="1" ht="15" customHeight="1">
      <c r="A6" s="78"/>
      <c r="B6" s="181" t="s">
        <v>303</v>
      </c>
      <c r="C6" s="184"/>
      <c r="D6" s="184"/>
      <c r="E6" s="927"/>
      <c r="F6" s="927"/>
      <c r="G6" s="928"/>
      <c r="H6" s="927"/>
      <c r="I6" s="927"/>
      <c r="J6" s="927"/>
      <c r="K6" s="927"/>
      <c r="L6" s="927"/>
      <c r="M6" s="927"/>
      <c r="N6" s="929"/>
      <c r="O6" s="928"/>
      <c r="P6" s="930">
        <f>SUM(P7,P76)</f>
        <v>1513140000</v>
      </c>
      <c r="Q6" s="930">
        <f>SUM(Q7,Q76)</f>
        <v>1506892000</v>
      </c>
      <c r="R6" s="930">
        <f>+P6-Q6</f>
        <v>6248000</v>
      </c>
      <c r="S6" s="931">
        <f>+R6/Q6</f>
        <v>4.1462825471234831E-3</v>
      </c>
    </row>
    <row r="7" spans="1:22" s="915" customFormat="1" ht="15" customHeight="1">
      <c r="A7" s="78"/>
      <c r="B7" s="79"/>
      <c r="C7" s="174" t="s">
        <v>581</v>
      </c>
      <c r="D7" s="174"/>
      <c r="E7" s="932"/>
      <c r="F7" s="932"/>
      <c r="G7" s="933"/>
      <c r="H7" s="932"/>
      <c r="I7" s="932"/>
      <c r="J7" s="932"/>
      <c r="K7" s="932"/>
      <c r="L7" s="932"/>
      <c r="M7" s="932"/>
      <c r="N7" s="934"/>
      <c r="O7" s="933"/>
      <c r="P7" s="935">
        <f>SUM(P8,P63,P72)</f>
        <v>651940000</v>
      </c>
      <c r="Q7" s="935">
        <f>SUM(Q8,Q63,Q72)</f>
        <v>645692000</v>
      </c>
      <c r="R7" s="935">
        <f>+P7-Q7</f>
        <v>6248000</v>
      </c>
      <c r="S7" s="936">
        <f>+R7/Q7</f>
        <v>9.6764401603241165E-3</v>
      </c>
    </row>
    <row r="8" spans="1:22" s="915" customFormat="1" ht="15" customHeight="1">
      <c r="A8" s="78"/>
      <c r="B8" s="81"/>
      <c r="C8" s="82"/>
      <c r="D8" s="173" t="s">
        <v>582</v>
      </c>
      <c r="E8" s="932"/>
      <c r="F8" s="932"/>
      <c r="G8" s="933"/>
      <c r="H8" s="932"/>
      <c r="I8" s="932"/>
      <c r="J8" s="932"/>
      <c r="K8" s="932"/>
      <c r="L8" s="932"/>
      <c r="M8" s="932"/>
      <c r="N8" s="934"/>
      <c r="O8" s="933"/>
      <c r="P8" s="935">
        <f>SUM(P9:P62)</f>
        <v>597440000</v>
      </c>
      <c r="Q8" s="935">
        <f>SUM(Q9:Q62)</f>
        <v>597192000</v>
      </c>
      <c r="R8" s="935">
        <f>+P8-Q8</f>
        <v>248000</v>
      </c>
      <c r="S8" s="936">
        <f>+R8/Q8</f>
        <v>4.1527682889255048E-4</v>
      </c>
    </row>
    <row r="9" spans="1:22" ht="15" customHeight="1">
      <c r="A9" s="88"/>
      <c r="B9" s="89"/>
      <c r="C9" s="90"/>
      <c r="D9" s="170"/>
      <c r="E9" s="510" t="s">
        <v>583</v>
      </c>
      <c r="F9" s="510"/>
      <c r="G9" s="511"/>
      <c r="H9" s="510"/>
      <c r="I9" s="510"/>
      <c r="J9" s="510"/>
      <c r="K9" s="510"/>
      <c r="L9" s="510"/>
      <c r="M9" s="510"/>
      <c r="N9" s="513"/>
      <c r="O9" s="511"/>
      <c r="P9" s="171">
        <f>ROUNDUP((O10+O25+O46),-3)</f>
        <v>455040000</v>
      </c>
      <c r="Q9" s="171">
        <f>67140000+340632000+47460000</f>
        <v>455232000</v>
      </c>
      <c r="R9" s="171">
        <f>+P9-Q9</f>
        <v>-192000</v>
      </c>
      <c r="S9" s="172">
        <f>+R9/Q9</f>
        <v>-4.2176296921130323E-4</v>
      </c>
    </row>
    <row r="10" spans="1:22" ht="15" customHeight="1">
      <c r="A10" s="88"/>
      <c r="B10" s="89"/>
      <c r="C10" s="90"/>
      <c r="D10" s="89"/>
      <c r="E10" s="106"/>
      <c r="F10" s="106" t="s">
        <v>304</v>
      </c>
      <c r="G10" s="123"/>
      <c r="H10" s="106"/>
      <c r="I10" s="107"/>
      <c r="J10" s="106"/>
      <c r="K10" s="937"/>
      <c r="L10" s="106"/>
      <c r="M10" s="108"/>
      <c r="N10" s="110"/>
      <c r="O10" s="938">
        <f>SUM(O11:O24)</f>
        <v>71760000</v>
      </c>
      <c r="P10" s="112"/>
      <c r="Q10" s="131"/>
      <c r="R10" s="112"/>
      <c r="S10" s="113"/>
      <c r="V10" s="939"/>
    </row>
    <row r="11" spans="1:22" ht="15" customHeight="1">
      <c r="A11" s="88"/>
      <c r="B11" s="89"/>
      <c r="C11" s="90"/>
      <c r="D11" s="89"/>
      <c r="E11" s="132"/>
      <c r="F11" s="132" t="s">
        <v>305</v>
      </c>
      <c r="G11" s="121">
        <v>30000</v>
      </c>
      <c r="H11" s="106" t="s">
        <v>282</v>
      </c>
      <c r="I11" s="107">
        <v>5</v>
      </c>
      <c r="J11" s="106" t="s">
        <v>282</v>
      </c>
      <c r="K11" s="937">
        <v>2</v>
      </c>
      <c r="L11" s="106" t="s">
        <v>584</v>
      </c>
      <c r="M11" s="108">
        <v>12</v>
      </c>
      <c r="N11" s="110" t="s">
        <v>283</v>
      </c>
      <c r="O11" s="123">
        <f t="shared" ref="O11:O24" si="0">+M11*K11*I11*G11</f>
        <v>3600000</v>
      </c>
      <c r="P11" s="112"/>
      <c r="Q11" s="131"/>
      <c r="R11" s="112"/>
      <c r="S11" s="113"/>
    </row>
    <row r="12" spans="1:22" ht="15" customHeight="1">
      <c r="A12" s="88"/>
      <c r="B12" s="89"/>
      <c r="C12" s="90"/>
      <c r="D12" s="89"/>
      <c r="E12" s="132"/>
      <c r="F12" s="132" t="s">
        <v>306</v>
      </c>
      <c r="G12" s="121">
        <v>35000</v>
      </c>
      <c r="H12" s="106" t="s">
        <v>277</v>
      </c>
      <c r="I12" s="107">
        <v>5</v>
      </c>
      <c r="J12" s="106" t="s">
        <v>277</v>
      </c>
      <c r="K12" s="937">
        <v>2</v>
      </c>
      <c r="L12" s="106" t="s">
        <v>282</v>
      </c>
      <c r="M12" s="108">
        <v>12</v>
      </c>
      <c r="N12" s="110" t="s">
        <v>585</v>
      </c>
      <c r="O12" s="123">
        <f t="shared" si="0"/>
        <v>4200000</v>
      </c>
      <c r="P12" s="112"/>
      <c r="Q12" s="131"/>
      <c r="R12" s="112"/>
      <c r="S12" s="113"/>
    </row>
    <row r="13" spans="1:22" ht="15" customHeight="1">
      <c r="A13" s="88"/>
      <c r="B13" s="89"/>
      <c r="C13" s="90"/>
      <c r="D13" s="89"/>
      <c r="E13" s="132"/>
      <c r="F13" s="132" t="s">
        <v>586</v>
      </c>
      <c r="G13" s="121">
        <v>35000</v>
      </c>
      <c r="H13" s="106" t="s">
        <v>288</v>
      </c>
      <c r="I13" s="107">
        <v>8</v>
      </c>
      <c r="J13" s="106" t="s">
        <v>282</v>
      </c>
      <c r="K13" s="937">
        <v>3</v>
      </c>
      <c r="L13" s="106" t="s">
        <v>282</v>
      </c>
      <c r="M13" s="108">
        <v>12</v>
      </c>
      <c r="N13" s="110" t="s">
        <v>585</v>
      </c>
      <c r="O13" s="123">
        <f t="shared" si="0"/>
        <v>10080000</v>
      </c>
      <c r="P13" s="112"/>
      <c r="Q13" s="131"/>
      <c r="R13" s="112"/>
      <c r="S13" s="113"/>
    </row>
    <row r="14" spans="1:22" ht="15" customHeight="1">
      <c r="A14" s="88"/>
      <c r="B14" s="89"/>
      <c r="C14" s="90"/>
      <c r="D14" s="89"/>
      <c r="E14" s="132"/>
      <c r="F14" s="132" t="s">
        <v>587</v>
      </c>
      <c r="G14" s="121">
        <v>35000</v>
      </c>
      <c r="H14" s="106" t="s">
        <v>282</v>
      </c>
      <c r="I14" s="107">
        <v>10</v>
      </c>
      <c r="J14" s="106" t="s">
        <v>282</v>
      </c>
      <c r="K14" s="937">
        <v>1</v>
      </c>
      <c r="L14" s="106" t="s">
        <v>282</v>
      </c>
      <c r="M14" s="108">
        <v>12</v>
      </c>
      <c r="N14" s="110" t="s">
        <v>281</v>
      </c>
      <c r="O14" s="123">
        <f t="shared" si="0"/>
        <v>4200000</v>
      </c>
      <c r="P14" s="112"/>
      <c r="Q14" s="131"/>
      <c r="R14" s="112"/>
      <c r="S14" s="113"/>
    </row>
    <row r="15" spans="1:22" ht="15" customHeight="1">
      <c r="A15" s="88"/>
      <c r="B15" s="89"/>
      <c r="C15" s="90"/>
      <c r="D15" s="89"/>
      <c r="E15" s="132"/>
      <c r="F15" s="132" t="s">
        <v>307</v>
      </c>
      <c r="G15" s="121">
        <v>30000</v>
      </c>
      <c r="H15" s="106" t="s">
        <v>282</v>
      </c>
      <c r="I15" s="107">
        <v>5</v>
      </c>
      <c r="J15" s="106" t="s">
        <v>282</v>
      </c>
      <c r="K15" s="937">
        <v>1</v>
      </c>
      <c r="L15" s="106" t="s">
        <v>282</v>
      </c>
      <c r="M15" s="108">
        <v>12</v>
      </c>
      <c r="N15" s="110" t="s">
        <v>281</v>
      </c>
      <c r="O15" s="123">
        <f t="shared" si="0"/>
        <v>1800000</v>
      </c>
      <c r="P15" s="112"/>
      <c r="Q15" s="131"/>
      <c r="R15" s="112"/>
      <c r="S15" s="113"/>
    </row>
    <row r="16" spans="1:22" ht="15" customHeight="1">
      <c r="A16" s="88"/>
      <c r="B16" s="89"/>
      <c r="C16" s="90"/>
      <c r="D16" s="89"/>
      <c r="E16" s="132"/>
      <c r="F16" s="132" t="s">
        <v>588</v>
      </c>
      <c r="G16" s="121">
        <v>40000</v>
      </c>
      <c r="H16" s="106" t="s">
        <v>282</v>
      </c>
      <c r="I16" s="107">
        <v>6</v>
      </c>
      <c r="J16" s="106" t="s">
        <v>584</v>
      </c>
      <c r="K16" s="937">
        <v>2</v>
      </c>
      <c r="L16" s="106" t="s">
        <v>282</v>
      </c>
      <c r="M16" s="108">
        <v>12</v>
      </c>
      <c r="N16" s="110" t="s">
        <v>283</v>
      </c>
      <c r="O16" s="123">
        <f t="shared" si="0"/>
        <v>5760000</v>
      </c>
      <c r="P16" s="112"/>
      <c r="Q16" s="131"/>
      <c r="R16" s="112"/>
      <c r="S16" s="113"/>
    </row>
    <row r="17" spans="1:19" ht="15" customHeight="1">
      <c r="A17" s="88"/>
      <c r="B17" s="89"/>
      <c r="C17" s="90"/>
      <c r="D17" s="89"/>
      <c r="E17" s="132"/>
      <c r="F17" s="132" t="s">
        <v>589</v>
      </c>
      <c r="G17" s="121">
        <v>40000</v>
      </c>
      <c r="H17" s="106" t="s">
        <v>282</v>
      </c>
      <c r="I17" s="107">
        <v>5</v>
      </c>
      <c r="J17" s="106" t="s">
        <v>584</v>
      </c>
      <c r="K17" s="937">
        <v>2</v>
      </c>
      <c r="L17" s="106" t="s">
        <v>282</v>
      </c>
      <c r="M17" s="108">
        <v>12</v>
      </c>
      <c r="N17" s="110" t="s">
        <v>283</v>
      </c>
      <c r="O17" s="123">
        <f t="shared" si="0"/>
        <v>4800000</v>
      </c>
      <c r="P17" s="112"/>
      <c r="Q17" s="131"/>
      <c r="R17" s="112"/>
      <c r="S17" s="113"/>
    </row>
    <row r="18" spans="1:19" ht="15" customHeight="1">
      <c r="A18" s="88"/>
      <c r="B18" s="89"/>
      <c r="C18" s="90"/>
      <c r="D18" s="89"/>
      <c r="E18" s="132"/>
      <c r="F18" s="132" t="s">
        <v>590</v>
      </c>
      <c r="G18" s="121">
        <v>40000</v>
      </c>
      <c r="H18" s="106" t="s">
        <v>282</v>
      </c>
      <c r="I18" s="107">
        <v>5</v>
      </c>
      <c r="J18" s="106" t="s">
        <v>277</v>
      </c>
      <c r="K18" s="937">
        <v>2</v>
      </c>
      <c r="L18" s="106" t="s">
        <v>277</v>
      </c>
      <c r="M18" s="108">
        <v>12</v>
      </c>
      <c r="N18" s="110" t="s">
        <v>281</v>
      </c>
      <c r="O18" s="123">
        <f t="shared" si="0"/>
        <v>4800000</v>
      </c>
      <c r="P18" s="112"/>
      <c r="Q18" s="131"/>
      <c r="R18" s="112"/>
      <c r="S18" s="113"/>
    </row>
    <row r="19" spans="1:19" ht="15" customHeight="1">
      <c r="A19" s="88"/>
      <c r="B19" s="89"/>
      <c r="C19" s="90"/>
      <c r="D19" s="89"/>
      <c r="E19" s="132"/>
      <c r="F19" s="132" t="s">
        <v>591</v>
      </c>
      <c r="G19" s="121">
        <v>40000</v>
      </c>
      <c r="H19" s="106" t="s">
        <v>277</v>
      </c>
      <c r="I19" s="107">
        <v>5</v>
      </c>
      <c r="J19" s="106" t="s">
        <v>277</v>
      </c>
      <c r="K19" s="937">
        <v>1</v>
      </c>
      <c r="L19" s="106" t="s">
        <v>584</v>
      </c>
      <c r="M19" s="108">
        <v>12</v>
      </c>
      <c r="N19" s="110" t="s">
        <v>281</v>
      </c>
      <c r="O19" s="123">
        <f t="shared" si="0"/>
        <v>2400000</v>
      </c>
      <c r="P19" s="112"/>
      <c r="Q19" s="131"/>
      <c r="R19" s="112"/>
      <c r="S19" s="113"/>
    </row>
    <row r="20" spans="1:19" ht="15" customHeight="1">
      <c r="A20" s="88"/>
      <c r="B20" s="89"/>
      <c r="C20" s="90"/>
      <c r="D20" s="89"/>
      <c r="E20" s="132"/>
      <c r="F20" s="132" t="s">
        <v>592</v>
      </c>
      <c r="G20" s="121">
        <v>30000</v>
      </c>
      <c r="H20" s="106" t="s">
        <v>282</v>
      </c>
      <c r="I20" s="107">
        <v>5</v>
      </c>
      <c r="J20" s="106" t="s">
        <v>282</v>
      </c>
      <c r="K20" s="937">
        <v>1</v>
      </c>
      <c r="L20" s="106" t="s">
        <v>277</v>
      </c>
      <c r="M20" s="108">
        <v>12</v>
      </c>
      <c r="N20" s="110" t="s">
        <v>283</v>
      </c>
      <c r="O20" s="123">
        <f t="shared" si="0"/>
        <v>1800000</v>
      </c>
      <c r="P20" s="112"/>
      <c r="Q20" s="131"/>
      <c r="R20" s="112"/>
      <c r="S20" s="113"/>
    </row>
    <row r="21" spans="1:19" ht="15" customHeight="1">
      <c r="A21" s="88"/>
      <c r="B21" s="89"/>
      <c r="C21" s="90"/>
      <c r="D21" s="89"/>
      <c r="E21" s="132"/>
      <c r="F21" s="132" t="s">
        <v>308</v>
      </c>
      <c r="G21" s="121">
        <v>30000</v>
      </c>
      <c r="H21" s="106" t="s">
        <v>282</v>
      </c>
      <c r="I21" s="107">
        <v>10</v>
      </c>
      <c r="J21" s="106" t="s">
        <v>282</v>
      </c>
      <c r="K21" s="937">
        <v>2</v>
      </c>
      <c r="L21" s="106" t="s">
        <v>277</v>
      </c>
      <c r="M21" s="108">
        <v>12</v>
      </c>
      <c r="N21" s="110" t="s">
        <v>283</v>
      </c>
      <c r="O21" s="123">
        <f t="shared" si="0"/>
        <v>7200000</v>
      </c>
      <c r="P21" s="112"/>
      <c r="Q21" s="131"/>
      <c r="R21" s="112"/>
      <c r="S21" s="113"/>
    </row>
    <row r="22" spans="1:19" ht="15" customHeight="1">
      <c r="A22" s="88"/>
      <c r="B22" s="89"/>
      <c r="C22" s="90"/>
      <c r="D22" s="89"/>
      <c r="E22" s="132"/>
      <c r="F22" s="132" t="s">
        <v>310</v>
      </c>
      <c r="G22" s="121">
        <v>40000</v>
      </c>
      <c r="H22" s="106" t="s">
        <v>282</v>
      </c>
      <c r="I22" s="107">
        <v>8</v>
      </c>
      <c r="J22" s="106" t="s">
        <v>277</v>
      </c>
      <c r="K22" s="937">
        <v>3</v>
      </c>
      <c r="L22" s="106" t="s">
        <v>282</v>
      </c>
      <c r="M22" s="108">
        <v>12</v>
      </c>
      <c r="N22" s="110" t="s">
        <v>281</v>
      </c>
      <c r="O22" s="123">
        <f t="shared" si="0"/>
        <v>11520000</v>
      </c>
      <c r="P22" s="112"/>
      <c r="Q22" s="131"/>
      <c r="R22" s="112"/>
      <c r="S22" s="113"/>
    </row>
    <row r="23" spans="1:19" ht="15" customHeight="1">
      <c r="A23" s="88"/>
      <c r="B23" s="89"/>
      <c r="C23" s="90"/>
      <c r="D23" s="89"/>
      <c r="E23" s="132"/>
      <c r="F23" s="132" t="s">
        <v>311</v>
      </c>
      <c r="G23" s="121">
        <v>40000</v>
      </c>
      <c r="H23" s="106" t="s">
        <v>277</v>
      </c>
      <c r="I23" s="107">
        <v>5</v>
      </c>
      <c r="J23" s="106" t="s">
        <v>277</v>
      </c>
      <c r="K23" s="937">
        <v>2</v>
      </c>
      <c r="L23" s="106" t="s">
        <v>584</v>
      </c>
      <c r="M23" s="108">
        <v>12</v>
      </c>
      <c r="N23" s="110" t="s">
        <v>281</v>
      </c>
      <c r="O23" s="123">
        <f t="shared" si="0"/>
        <v>4800000</v>
      </c>
      <c r="P23" s="112"/>
      <c r="Q23" s="131"/>
      <c r="R23" s="112"/>
      <c r="S23" s="113"/>
    </row>
    <row r="24" spans="1:19" ht="15" customHeight="1">
      <c r="A24" s="88"/>
      <c r="B24" s="89"/>
      <c r="C24" s="90"/>
      <c r="D24" s="89"/>
      <c r="E24" s="132"/>
      <c r="F24" s="132" t="s">
        <v>593</v>
      </c>
      <c r="G24" s="121">
        <v>40000</v>
      </c>
      <c r="H24" s="106" t="s">
        <v>282</v>
      </c>
      <c r="I24" s="107">
        <v>5</v>
      </c>
      <c r="J24" s="106" t="s">
        <v>277</v>
      </c>
      <c r="K24" s="937">
        <v>2</v>
      </c>
      <c r="L24" s="106" t="s">
        <v>584</v>
      </c>
      <c r="M24" s="108">
        <v>12</v>
      </c>
      <c r="N24" s="110" t="s">
        <v>281</v>
      </c>
      <c r="O24" s="123">
        <f t="shared" si="0"/>
        <v>4800000</v>
      </c>
      <c r="P24" s="112"/>
      <c r="Q24" s="131"/>
      <c r="R24" s="112"/>
      <c r="S24" s="113"/>
    </row>
    <row r="25" spans="1:19" ht="15" customHeight="1">
      <c r="A25" s="88"/>
      <c r="B25" s="89"/>
      <c r="C25" s="90"/>
      <c r="D25" s="89"/>
      <c r="E25" s="106"/>
      <c r="F25" s="106" t="s">
        <v>312</v>
      </c>
      <c r="G25" s="123"/>
      <c r="H25" s="106"/>
      <c r="I25" s="106"/>
      <c r="J25" s="106"/>
      <c r="K25" s="106"/>
      <c r="L25" s="106"/>
      <c r="M25" s="106"/>
      <c r="N25" s="110"/>
      <c r="O25" s="938">
        <f>SUM(O26:O45)</f>
        <v>334200000</v>
      </c>
      <c r="P25" s="112"/>
      <c r="Q25" s="131"/>
      <c r="R25" s="112"/>
      <c r="S25" s="113"/>
    </row>
    <row r="26" spans="1:19" ht="15" customHeight="1">
      <c r="A26" s="88"/>
      <c r="B26" s="89"/>
      <c r="C26" s="90"/>
      <c r="D26" s="89"/>
      <c r="E26" s="132"/>
      <c r="F26" s="132" t="s">
        <v>313</v>
      </c>
      <c r="G26" s="121">
        <v>25000</v>
      </c>
      <c r="H26" s="106" t="s">
        <v>282</v>
      </c>
      <c r="I26" s="107">
        <v>1</v>
      </c>
      <c r="J26" s="106" t="s">
        <v>277</v>
      </c>
      <c r="K26" s="937">
        <v>4</v>
      </c>
      <c r="L26" s="106" t="s">
        <v>282</v>
      </c>
      <c r="M26" s="108">
        <v>12</v>
      </c>
      <c r="N26" s="110" t="s">
        <v>281</v>
      </c>
      <c r="O26" s="123">
        <f>G26*I26*K26*M26</f>
        <v>1200000</v>
      </c>
      <c r="P26" s="112"/>
      <c r="Q26" s="131"/>
      <c r="R26" s="112"/>
      <c r="S26" s="113"/>
    </row>
    <row r="27" spans="1:19" ht="15" customHeight="1">
      <c r="A27" s="88"/>
      <c r="B27" s="89"/>
      <c r="C27" s="90"/>
      <c r="D27" s="89"/>
      <c r="E27" s="132"/>
      <c r="F27" s="132" t="s">
        <v>314</v>
      </c>
      <c r="G27" s="121">
        <v>35000</v>
      </c>
      <c r="H27" s="106" t="s">
        <v>282</v>
      </c>
      <c r="I27" s="107">
        <v>17</v>
      </c>
      <c r="J27" s="106" t="s">
        <v>282</v>
      </c>
      <c r="K27" s="937">
        <v>4</v>
      </c>
      <c r="L27" s="106" t="s">
        <v>282</v>
      </c>
      <c r="M27" s="108">
        <v>12</v>
      </c>
      <c r="N27" s="110" t="s">
        <v>281</v>
      </c>
      <c r="O27" s="123">
        <f t="shared" ref="O27:O45" si="1">G27*I27*K27*M27</f>
        <v>28560000</v>
      </c>
      <c r="P27" s="112"/>
      <c r="Q27" s="131"/>
      <c r="R27" s="112"/>
      <c r="S27" s="113"/>
    </row>
    <row r="28" spans="1:19" ht="15" customHeight="1">
      <c r="A28" s="88"/>
      <c r="B28" s="89"/>
      <c r="C28" s="90"/>
      <c r="D28" s="89"/>
      <c r="E28" s="132"/>
      <c r="F28" s="132" t="s">
        <v>594</v>
      </c>
      <c r="G28" s="121">
        <v>25000</v>
      </c>
      <c r="H28" s="106" t="s">
        <v>282</v>
      </c>
      <c r="I28" s="107">
        <v>1</v>
      </c>
      <c r="J28" s="106" t="s">
        <v>282</v>
      </c>
      <c r="K28" s="937">
        <v>4</v>
      </c>
      <c r="L28" s="106" t="s">
        <v>277</v>
      </c>
      <c r="M28" s="108">
        <v>12</v>
      </c>
      <c r="N28" s="110" t="s">
        <v>283</v>
      </c>
      <c r="O28" s="123">
        <f t="shared" si="1"/>
        <v>1200000</v>
      </c>
      <c r="P28" s="112"/>
      <c r="Q28" s="131"/>
      <c r="R28" s="112"/>
      <c r="S28" s="113"/>
    </row>
    <row r="29" spans="1:19" ht="15" customHeight="1">
      <c r="A29" s="88"/>
      <c r="B29" s="89"/>
      <c r="C29" s="90"/>
      <c r="D29" s="89"/>
      <c r="E29" s="132"/>
      <c r="F29" s="132" t="s">
        <v>316</v>
      </c>
      <c r="G29" s="121">
        <v>35000</v>
      </c>
      <c r="H29" s="106" t="s">
        <v>282</v>
      </c>
      <c r="I29" s="107">
        <v>17</v>
      </c>
      <c r="J29" s="106" t="s">
        <v>282</v>
      </c>
      <c r="K29" s="937">
        <v>4</v>
      </c>
      <c r="L29" s="106" t="s">
        <v>282</v>
      </c>
      <c r="M29" s="108">
        <v>12</v>
      </c>
      <c r="N29" s="110" t="s">
        <v>283</v>
      </c>
      <c r="O29" s="123">
        <f t="shared" si="1"/>
        <v>28560000</v>
      </c>
      <c r="P29" s="112"/>
      <c r="Q29" s="131"/>
      <c r="R29" s="112"/>
      <c r="S29" s="113"/>
    </row>
    <row r="30" spans="1:19" ht="15" customHeight="1">
      <c r="A30" s="88"/>
      <c r="B30" s="89"/>
      <c r="C30" s="90"/>
      <c r="D30" s="89"/>
      <c r="E30" s="132"/>
      <c r="F30" s="132" t="s">
        <v>317</v>
      </c>
      <c r="G30" s="121">
        <v>35000</v>
      </c>
      <c r="H30" s="106" t="s">
        <v>277</v>
      </c>
      <c r="I30" s="107">
        <v>15</v>
      </c>
      <c r="J30" s="106" t="s">
        <v>282</v>
      </c>
      <c r="K30" s="937">
        <v>6</v>
      </c>
      <c r="L30" s="106" t="s">
        <v>282</v>
      </c>
      <c r="M30" s="108">
        <v>12</v>
      </c>
      <c r="N30" s="110" t="s">
        <v>283</v>
      </c>
      <c r="O30" s="123">
        <f t="shared" si="1"/>
        <v>37800000</v>
      </c>
      <c r="P30" s="112"/>
      <c r="Q30" s="131"/>
      <c r="R30" s="112"/>
      <c r="S30" s="113"/>
    </row>
    <row r="31" spans="1:19" ht="15" customHeight="1">
      <c r="A31" s="88"/>
      <c r="B31" s="89"/>
      <c r="C31" s="90"/>
      <c r="D31" s="89"/>
      <c r="E31" s="132"/>
      <c r="F31" s="132" t="s">
        <v>318</v>
      </c>
      <c r="G31" s="121">
        <v>25000</v>
      </c>
      <c r="H31" s="106" t="s">
        <v>277</v>
      </c>
      <c r="I31" s="107">
        <v>8</v>
      </c>
      <c r="J31" s="106" t="s">
        <v>584</v>
      </c>
      <c r="K31" s="937">
        <v>4</v>
      </c>
      <c r="L31" s="106" t="s">
        <v>277</v>
      </c>
      <c r="M31" s="108">
        <v>12</v>
      </c>
      <c r="N31" s="110" t="s">
        <v>281</v>
      </c>
      <c r="O31" s="123">
        <f t="shared" si="1"/>
        <v>9600000</v>
      </c>
      <c r="P31" s="112"/>
      <c r="Q31" s="131"/>
      <c r="R31" s="112"/>
      <c r="S31" s="113"/>
    </row>
    <row r="32" spans="1:19" ht="15" customHeight="1">
      <c r="A32" s="88"/>
      <c r="B32" s="89"/>
      <c r="C32" s="90"/>
      <c r="D32" s="89"/>
      <c r="E32" s="132"/>
      <c r="F32" s="132" t="s">
        <v>319</v>
      </c>
      <c r="G32" s="121">
        <v>25000</v>
      </c>
      <c r="H32" s="106" t="s">
        <v>277</v>
      </c>
      <c r="I32" s="107">
        <v>12</v>
      </c>
      <c r="J32" s="106" t="s">
        <v>282</v>
      </c>
      <c r="K32" s="937">
        <v>2</v>
      </c>
      <c r="L32" s="106" t="s">
        <v>277</v>
      </c>
      <c r="M32" s="108">
        <v>12</v>
      </c>
      <c r="N32" s="110" t="s">
        <v>283</v>
      </c>
      <c r="O32" s="123">
        <f t="shared" si="1"/>
        <v>7200000</v>
      </c>
      <c r="P32" s="112"/>
      <c r="Q32" s="131"/>
      <c r="R32" s="112"/>
      <c r="S32" s="113"/>
    </row>
    <row r="33" spans="1:19" ht="15" customHeight="1">
      <c r="A33" s="88"/>
      <c r="B33" s="89"/>
      <c r="C33" s="90"/>
      <c r="D33" s="89"/>
      <c r="E33" s="132"/>
      <c r="F33" s="132" t="s">
        <v>320</v>
      </c>
      <c r="G33" s="121">
        <v>30000</v>
      </c>
      <c r="H33" s="106" t="s">
        <v>277</v>
      </c>
      <c r="I33" s="107">
        <v>7</v>
      </c>
      <c r="J33" s="106" t="s">
        <v>277</v>
      </c>
      <c r="K33" s="937">
        <v>2</v>
      </c>
      <c r="L33" s="106" t="s">
        <v>277</v>
      </c>
      <c r="M33" s="108">
        <v>12</v>
      </c>
      <c r="N33" s="110" t="s">
        <v>281</v>
      </c>
      <c r="O33" s="123">
        <f t="shared" si="1"/>
        <v>5040000</v>
      </c>
      <c r="P33" s="112"/>
      <c r="Q33" s="131"/>
      <c r="R33" s="112"/>
      <c r="S33" s="113"/>
    </row>
    <row r="34" spans="1:19" ht="15" customHeight="1">
      <c r="A34" s="88"/>
      <c r="B34" s="89"/>
      <c r="C34" s="90"/>
      <c r="D34" s="89"/>
      <c r="E34" s="132"/>
      <c r="F34" s="132" t="s">
        <v>595</v>
      </c>
      <c r="G34" s="121">
        <v>30000</v>
      </c>
      <c r="H34" s="106" t="s">
        <v>277</v>
      </c>
      <c r="I34" s="107">
        <v>5</v>
      </c>
      <c r="J34" s="106" t="s">
        <v>282</v>
      </c>
      <c r="K34" s="937">
        <v>2</v>
      </c>
      <c r="L34" s="106" t="s">
        <v>277</v>
      </c>
      <c r="M34" s="108">
        <v>12</v>
      </c>
      <c r="N34" s="110" t="s">
        <v>585</v>
      </c>
      <c r="O34" s="123">
        <f t="shared" si="1"/>
        <v>3600000</v>
      </c>
      <c r="P34" s="112"/>
      <c r="Q34" s="131"/>
      <c r="R34" s="112"/>
      <c r="S34" s="113"/>
    </row>
    <row r="35" spans="1:19" ht="15" customHeight="1">
      <c r="A35" s="88"/>
      <c r="B35" s="89"/>
      <c r="C35" s="90"/>
      <c r="D35" s="89"/>
      <c r="E35" s="132"/>
      <c r="F35" s="132" t="s">
        <v>596</v>
      </c>
      <c r="G35" s="121">
        <v>40000</v>
      </c>
      <c r="H35" s="106" t="s">
        <v>282</v>
      </c>
      <c r="I35" s="107">
        <v>15</v>
      </c>
      <c r="J35" s="106" t="s">
        <v>584</v>
      </c>
      <c r="K35" s="937">
        <v>3</v>
      </c>
      <c r="L35" s="106" t="s">
        <v>282</v>
      </c>
      <c r="M35" s="108">
        <v>12</v>
      </c>
      <c r="N35" s="110" t="s">
        <v>289</v>
      </c>
      <c r="O35" s="123">
        <f t="shared" si="1"/>
        <v>21600000</v>
      </c>
      <c r="P35" s="112"/>
      <c r="Q35" s="131"/>
      <c r="R35" s="112"/>
      <c r="S35" s="113"/>
    </row>
    <row r="36" spans="1:19" ht="15" customHeight="1">
      <c r="A36" s="88"/>
      <c r="B36" s="89"/>
      <c r="C36" s="90"/>
      <c r="D36" s="89"/>
      <c r="E36" s="132"/>
      <c r="F36" s="132" t="s">
        <v>597</v>
      </c>
      <c r="G36" s="121">
        <v>40000</v>
      </c>
      <c r="H36" s="106" t="s">
        <v>277</v>
      </c>
      <c r="I36" s="107">
        <v>7</v>
      </c>
      <c r="J36" s="106" t="s">
        <v>584</v>
      </c>
      <c r="K36" s="937">
        <v>1</v>
      </c>
      <c r="L36" s="106" t="s">
        <v>584</v>
      </c>
      <c r="M36" s="108">
        <v>12</v>
      </c>
      <c r="N36" s="110" t="s">
        <v>283</v>
      </c>
      <c r="O36" s="123">
        <f t="shared" si="1"/>
        <v>3360000</v>
      </c>
      <c r="P36" s="112"/>
      <c r="Q36" s="131"/>
      <c r="R36" s="112"/>
      <c r="S36" s="113"/>
    </row>
    <row r="37" spans="1:19" ht="15" customHeight="1">
      <c r="A37" s="561"/>
      <c r="B37" s="562"/>
      <c r="C37" s="563"/>
      <c r="D37" s="562"/>
      <c r="E37" s="940"/>
      <c r="F37" s="940" t="s">
        <v>598</v>
      </c>
      <c r="G37" s="161">
        <v>40000</v>
      </c>
      <c r="H37" s="162" t="s">
        <v>277</v>
      </c>
      <c r="I37" s="941">
        <v>8</v>
      </c>
      <c r="J37" s="162" t="s">
        <v>282</v>
      </c>
      <c r="K37" s="942">
        <v>2</v>
      </c>
      <c r="L37" s="162" t="s">
        <v>277</v>
      </c>
      <c r="M37" s="163">
        <v>12</v>
      </c>
      <c r="N37" s="165" t="s">
        <v>283</v>
      </c>
      <c r="O37" s="943">
        <f t="shared" si="1"/>
        <v>7680000</v>
      </c>
      <c r="P37" s="167"/>
      <c r="Q37" s="168"/>
      <c r="R37" s="167"/>
      <c r="S37" s="169"/>
    </row>
    <row r="38" spans="1:19" ht="15" customHeight="1">
      <c r="A38" s="88"/>
      <c r="B38" s="89"/>
      <c r="C38" s="90"/>
      <c r="D38" s="89"/>
      <c r="E38" s="132"/>
      <c r="F38" s="132" t="s">
        <v>321</v>
      </c>
      <c r="G38" s="121">
        <v>35000</v>
      </c>
      <c r="H38" s="106" t="s">
        <v>277</v>
      </c>
      <c r="I38" s="107">
        <v>15</v>
      </c>
      <c r="J38" s="106" t="s">
        <v>282</v>
      </c>
      <c r="K38" s="937">
        <v>2</v>
      </c>
      <c r="L38" s="106" t="s">
        <v>282</v>
      </c>
      <c r="M38" s="108">
        <v>12</v>
      </c>
      <c r="N38" s="110" t="s">
        <v>283</v>
      </c>
      <c r="O38" s="123">
        <f t="shared" si="1"/>
        <v>12600000</v>
      </c>
      <c r="P38" s="112"/>
      <c r="Q38" s="131"/>
      <c r="R38" s="112"/>
      <c r="S38" s="113"/>
    </row>
    <row r="39" spans="1:19" ht="15" customHeight="1">
      <c r="A39" s="88"/>
      <c r="B39" s="89"/>
      <c r="C39" s="90"/>
      <c r="D39" s="89"/>
      <c r="E39" s="132"/>
      <c r="F39" s="132" t="s">
        <v>599</v>
      </c>
      <c r="G39" s="121">
        <v>35000</v>
      </c>
      <c r="H39" s="106" t="s">
        <v>277</v>
      </c>
      <c r="I39" s="107">
        <v>15</v>
      </c>
      <c r="J39" s="106" t="s">
        <v>277</v>
      </c>
      <c r="K39" s="937">
        <v>4</v>
      </c>
      <c r="L39" s="106" t="s">
        <v>277</v>
      </c>
      <c r="M39" s="108">
        <v>12</v>
      </c>
      <c r="N39" s="110" t="s">
        <v>283</v>
      </c>
      <c r="O39" s="123">
        <f t="shared" si="1"/>
        <v>25200000</v>
      </c>
      <c r="P39" s="112"/>
      <c r="Q39" s="131"/>
      <c r="R39" s="112"/>
      <c r="S39" s="113"/>
    </row>
    <row r="40" spans="1:19" ht="15" customHeight="1">
      <c r="A40" s="88"/>
      <c r="B40" s="89"/>
      <c r="C40" s="90"/>
      <c r="D40" s="89"/>
      <c r="E40" s="132"/>
      <c r="F40" s="132" t="s">
        <v>322</v>
      </c>
      <c r="G40" s="121">
        <v>35000</v>
      </c>
      <c r="H40" s="106" t="s">
        <v>277</v>
      </c>
      <c r="I40" s="107">
        <v>15</v>
      </c>
      <c r="J40" s="106" t="s">
        <v>277</v>
      </c>
      <c r="K40" s="937">
        <v>6</v>
      </c>
      <c r="L40" s="106" t="s">
        <v>277</v>
      </c>
      <c r="M40" s="108">
        <v>12</v>
      </c>
      <c r="N40" s="110" t="s">
        <v>283</v>
      </c>
      <c r="O40" s="123">
        <f t="shared" si="1"/>
        <v>37800000</v>
      </c>
      <c r="P40" s="112"/>
      <c r="Q40" s="131"/>
      <c r="R40" s="112"/>
      <c r="S40" s="113"/>
    </row>
    <row r="41" spans="1:19" ht="15" customHeight="1">
      <c r="A41" s="88"/>
      <c r="B41" s="89"/>
      <c r="C41" s="90"/>
      <c r="D41" s="89"/>
      <c r="E41" s="132"/>
      <c r="F41" s="132" t="s">
        <v>323</v>
      </c>
      <c r="G41" s="121">
        <v>30000</v>
      </c>
      <c r="H41" s="106" t="s">
        <v>277</v>
      </c>
      <c r="I41" s="107">
        <v>15</v>
      </c>
      <c r="J41" s="106" t="s">
        <v>277</v>
      </c>
      <c r="K41" s="937">
        <v>3</v>
      </c>
      <c r="L41" s="106" t="s">
        <v>277</v>
      </c>
      <c r="M41" s="108">
        <v>12</v>
      </c>
      <c r="N41" s="110" t="s">
        <v>283</v>
      </c>
      <c r="O41" s="123">
        <f t="shared" si="1"/>
        <v>16200000</v>
      </c>
      <c r="P41" s="112"/>
      <c r="Q41" s="131"/>
      <c r="R41" s="112"/>
      <c r="S41" s="113"/>
    </row>
    <row r="42" spans="1:19" ht="15" customHeight="1">
      <c r="A42" s="88"/>
      <c r="B42" s="89"/>
      <c r="C42" s="90"/>
      <c r="D42" s="89"/>
      <c r="E42" s="132"/>
      <c r="F42" s="132" t="s">
        <v>324</v>
      </c>
      <c r="G42" s="121">
        <v>30000</v>
      </c>
      <c r="H42" s="106" t="s">
        <v>277</v>
      </c>
      <c r="I42" s="107">
        <v>10</v>
      </c>
      <c r="J42" s="106" t="s">
        <v>277</v>
      </c>
      <c r="K42" s="937">
        <v>3</v>
      </c>
      <c r="L42" s="106" t="s">
        <v>277</v>
      </c>
      <c r="M42" s="108">
        <v>12</v>
      </c>
      <c r="N42" s="110" t="s">
        <v>283</v>
      </c>
      <c r="O42" s="123">
        <f t="shared" si="1"/>
        <v>10800000</v>
      </c>
      <c r="P42" s="112"/>
      <c r="Q42" s="131"/>
      <c r="R42" s="112"/>
      <c r="S42" s="113"/>
    </row>
    <row r="43" spans="1:19" ht="15" customHeight="1">
      <c r="A43" s="88"/>
      <c r="B43" s="89"/>
      <c r="C43" s="90"/>
      <c r="D43" s="89"/>
      <c r="E43" s="132"/>
      <c r="F43" s="132" t="s">
        <v>600</v>
      </c>
      <c r="G43" s="121">
        <v>45000</v>
      </c>
      <c r="H43" s="106" t="s">
        <v>277</v>
      </c>
      <c r="I43" s="107">
        <v>5</v>
      </c>
      <c r="J43" s="106" t="s">
        <v>282</v>
      </c>
      <c r="K43" s="937">
        <v>6</v>
      </c>
      <c r="L43" s="106" t="s">
        <v>277</v>
      </c>
      <c r="M43" s="108">
        <v>12</v>
      </c>
      <c r="N43" s="110" t="s">
        <v>281</v>
      </c>
      <c r="O43" s="123">
        <f t="shared" si="1"/>
        <v>16200000</v>
      </c>
      <c r="P43" s="112"/>
      <c r="Q43" s="131"/>
      <c r="R43" s="112"/>
      <c r="S43" s="113"/>
    </row>
    <row r="44" spans="1:19" ht="15" customHeight="1">
      <c r="A44" s="88"/>
      <c r="B44" s="89"/>
      <c r="C44" s="90"/>
      <c r="D44" s="89"/>
      <c r="E44" s="132"/>
      <c r="F44" s="132" t="s">
        <v>601</v>
      </c>
      <c r="G44" s="121">
        <v>20000</v>
      </c>
      <c r="H44" s="106" t="s">
        <v>277</v>
      </c>
      <c r="I44" s="107">
        <v>100</v>
      </c>
      <c r="J44" s="106" t="s">
        <v>277</v>
      </c>
      <c r="K44" s="937">
        <v>1</v>
      </c>
      <c r="L44" s="106" t="s">
        <v>282</v>
      </c>
      <c r="M44" s="108">
        <v>12</v>
      </c>
      <c r="N44" s="110" t="s">
        <v>283</v>
      </c>
      <c r="O44" s="123">
        <f t="shared" si="1"/>
        <v>24000000</v>
      </c>
      <c r="P44" s="112"/>
      <c r="Q44" s="131"/>
      <c r="R44" s="112"/>
      <c r="S44" s="113"/>
    </row>
    <row r="45" spans="1:19" ht="15" customHeight="1">
      <c r="A45" s="88"/>
      <c r="B45" s="89"/>
      <c r="C45" s="90"/>
      <c r="D45" s="89"/>
      <c r="E45" s="132"/>
      <c r="F45" s="132" t="s">
        <v>602</v>
      </c>
      <c r="G45" s="121">
        <v>30000</v>
      </c>
      <c r="H45" s="106" t="s">
        <v>282</v>
      </c>
      <c r="I45" s="107">
        <v>100</v>
      </c>
      <c r="J45" s="106" t="s">
        <v>277</v>
      </c>
      <c r="K45" s="937">
        <v>1</v>
      </c>
      <c r="L45" s="106" t="s">
        <v>277</v>
      </c>
      <c r="M45" s="108">
        <v>12</v>
      </c>
      <c r="N45" s="110" t="s">
        <v>283</v>
      </c>
      <c r="O45" s="123">
        <f t="shared" si="1"/>
        <v>36000000</v>
      </c>
      <c r="P45" s="112"/>
      <c r="Q45" s="131"/>
      <c r="R45" s="112"/>
      <c r="S45" s="113"/>
    </row>
    <row r="46" spans="1:19" ht="15" customHeight="1">
      <c r="A46" s="88"/>
      <c r="B46" s="89"/>
      <c r="C46" s="90"/>
      <c r="D46" s="89"/>
      <c r="E46" s="106"/>
      <c r="F46" s="106" t="s">
        <v>327</v>
      </c>
      <c r="G46" s="123"/>
      <c r="H46" s="106"/>
      <c r="I46" s="106"/>
      <c r="J46" s="106"/>
      <c r="K46" s="106"/>
      <c r="L46" s="106"/>
      <c r="M46" s="106"/>
      <c r="N46" s="110"/>
      <c r="O46" s="938">
        <f>SUM(O47:O56)</f>
        <v>49080000</v>
      </c>
      <c r="P46" s="112"/>
      <c r="Q46" s="131"/>
      <c r="R46" s="112"/>
      <c r="S46" s="113"/>
    </row>
    <row r="47" spans="1:19" ht="15" customHeight="1">
      <c r="A47" s="88"/>
      <c r="B47" s="89"/>
      <c r="C47" s="90"/>
      <c r="D47" s="89"/>
      <c r="E47" s="132"/>
      <c r="F47" s="132" t="s">
        <v>328</v>
      </c>
      <c r="G47" s="121">
        <v>25000</v>
      </c>
      <c r="H47" s="106" t="s">
        <v>277</v>
      </c>
      <c r="I47" s="107">
        <v>15</v>
      </c>
      <c r="J47" s="106" t="s">
        <v>282</v>
      </c>
      <c r="K47" s="937">
        <v>3</v>
      </c>
      <c r="L47" s="106" t="s">
        <v>277</v>
      </c>
      <c r="M47" s="108">
        <v>12</v>
      </c>
      <c r="N47" s="110" t="s">
        <v>283</v>
      </c>
      <c r="O47" s="123">
        <f t="shared" ref="O47:O56" si="2">G47*I47*K47*M47</f>
        <v>13500000</v>
      </c>
      <c r="P47" s="112"/>
      <c r="Q47" s="131"/>
      <c r="R47" s="112"/>
      <c r="S47" s="113"/>
    </row>
    <row r="48" spans="1:19" ht="15" customHeight="1">
      <c r="A48" s="88"/>
      <c r="B48" s="89"/>
      <c r="C48" s="90"/>
      <c r="D48" s="89"/>
      <c r="E48" s="132"/>
      <c r="F48" s="132" t="s">
        <v>329</v>
      </c>
      <c r="G48" s="121">
        <v>25000</v>
      </c>
      <c r="H48" s="106" t="s">
        <v>282</v>
      </c>
      <c r="I48" s="107">
        <v>10</v>
      </c>
      <c r="J48" s="106" t="s">
        <v>277</v>
      </c>
      <c r="K48" s="937">
        <v>2</v>
      </c>
      <c r="L48" s="106" t="s">
        <v>282</v>
      </c>
      <c r="M48" s="108">
        <v>12</v>
      </c>
      <c r="N48" s="110" t="s">
        <v>283</v>
      </c>
      <c r="O48" s="123">
        <f t="shared" si="2"/>
        <v>6000000</v>
      </c>
      <c r="P48" s="112"/>
      <c r="Q48" s="131"/>
      <c r="R48" s="112"/>
      <c r="S48" s="113"/>
    </row>
    <row r="49" spans="1:22" ht="15" customHeight="1">
      <c r="A49" s="88"/>
      <c r="B49" s="89"/>
      <c r="C49" s="90"/>
      <c r="D49" s="89"/>
      <c r="E49" s="132"/>
      <c r="F49" s="132" t="s">
        <v>330</v>
      </c>
      <c r="G49" s="121">
        <v>25000</v>
      </c>
      <c r="H49" s="106" t="s">
        <v>277</v>
      </c>
      <c r="I49" s="107">
        <v>10</v>
      </c>
      <c r="J49" s="106" t="s">
        <v>277</v>
      </c>
      <c r="K49" s="937">
        <v>2</v>
      </c>
      <c r="L49" s="106" t="s">
        <v>282</v>
      </c>
      <c r="M49" s="108">
        <v>12</v>
      </c>
      <c r="N49" s="110" t="s">
        <v>585</v>
      </c>
      <c r="O49" s="123">
        <f t="shared" si="2"/>
        <v>6000000</v>
      </c>
      <c r="P49" s="112"/>
      <c r="Q49" s="131"/>
      <c r="R49" s="112"/>
      <c r="S49" s="113"/>
    </row>
    <row r="50" spans="1:22" ht="15" customHeight="1">
      <c r="A50" s="88"/>
      <c r="B50" s="89"/>
      <c r="C50" s="90"/>
      <c r="D50" s="89"/>
      <c r="E50" s="132"/>
      <c r="F50" s="132" t="s">
        <v>318</v>
      </c>
      <c r="G50" s="121">
        <v>35000</v>
      </c>
      <c r="H50" s="106" t="s">
        <v>288</v>
      </c>
      <c r="I50" s="107">
        <v>12</v>
      </c>
      <c r="J50" s="106" t="s">
        <v>282</v>
      </c>
      <c r="K50" s="937">
        <v>2</v>
      </c>
      <c r="L50" s="106" t="s">
        <v>277</v>
      </c>
      <c r="M50" s="108">
        <v>12</v>
      </c>
      <c r="N50" s="110" t="s">
        <v>585</v>
      </c>
      <c r="O50" s="123">
        <f t="shared" si="2"/>
        <v>10080000</v>
      </c>
      <c r="P50" s="112"/>
      <c r="Q50" s="131"/>
      <c r="R50" s="112"/>
      <c r="S50" s="113"/>
    </row>
    <row r="51" spans="1:22" ht="15" customHeight="1">
      <c r="A51" s="88"/>
      <c r="B51" s="89"/>
      <c r="C51" s="90"/>
      <c r="D51" s="89"/>
      <c r="E51" s="132"/>
      <c r="F51" s="132" t="s">
        <v>603</v>
      </c>
      <c r="G51" s="121">
        <v>25000</v>
      </c>
      <c r="H51" s="106" t="s">
        <v>277</v>
      </c>
      <c r="I51" s="107">
        <v>3</v>
      </c>
      <c r="J51" s="106" t="s">
        <v>277</v>
      </c>
      <c r="K51" s="937">
        <v>1</v>
      </c>
      <c r="L51" s="106" t="s">
        <v>277</v>
      </c>
      <c r="M51" s="108">
        <v>12</v>
      </c>
      <c r="N51" s="110" t="s">
        <v>281</v>
      </c>
      <c r="O51" s="123">
        <f t="shared" si="2"/>
        <v>900000</v>
      </c>
      <c r="P51" s="112"/>
      <c r="Q51" s="131"/>
      <c r="R51" s="112"/>
      <c r="S51" s="113"/>
    </row>
    <row r="52" spans="1:22" ht="15" customHeight="1">
      <c r="A52" s="88"/>
      <c r="B52" s="89"/>
      <c r="C52" s="90"/>
      <c r="D52" s="89"/>
      <c r="E52" s="132"/>
      <c r="F52" s="132" t="s">
        <v>331</v>
      </c>
      <c r="G52" s="121">
        <v>25000</v>
      </c>
      <c r="H52" s="106" t="s">
        <v>282</v>
      </c>
      <c r="I52" s="107">
        <v>5</v>
      </c>
      <c r="J52" s="106" t="s">
        <v>277</v>
      </c>
      <c r="K52" s="937">
        <v>1</v>
      </c>
      <c r="L52" s="106" t="s">
        <v>282</v>
      </c>
      <c r="M52" s="108">
        <v>12</v>
      </c>
      <c r="N52" s="110" t="s">
        <v>281</v>
      </c>
      <c r="O52" s="123">
        <f t="shared" si="2"/>
        <v>1500000</v>
      </c>
      <c r="P52" s="112"/>
      <c r="Q52" s="131"/>
      <c r="R52" s="112"/>
      <c r="S52" s="113"/>
    </row>
    <row r="53" spans="1:22" ht="15" customHeight="1">
      <c r="A53" s="88"/>
      <c r="B53" s="89"/>
      <c r="C53" s="90"/>
      <c r="D53" s="89"/>
      <c r="E53" s="132"/>
      <c r="F53" s="132" t="s">
        <v>604</v>
      </c>
      <c r="G53" s="121">
        <v>30000</v>
      </c>
      <c r="H53" s="106" t="s">
        <v>282</v>
      </c>
      <c r="I53" s="107">
        <v>10</v>
      </c>
      <c r="J53" s="106" t="s">
        <v>282</v>
      </c>
      <c r="K53" s="937">
        <v>1</v>
      </c>
      <c r="L53" s="106" t="s">
        <v>277</v>
      </c>
      <c r="M53" s="108">
        <v>12</v>
      </c>
      <c r="N53" s="110" t="s">
        <v>283</v>
      </c>
      <c r="O53" s="123">
        <f t="shared" si="2"/>
        <v>3600000</v>
      </c>
      <c r="P53" s="112"/>
      <c r="Q53" s="131"/>
      <c r="R53" s="112"/>
      <c r="S53" s="113"/>
    </row>
    <row r="54" spans="1:22" ht="15" customHeight="1">
      <c r="A54" s="88"/>
      <c r="B54" s="89"/>
      <c r="C54" s="90"/>
      <c r="D54" s="89"/>
      <c r="E54" s="132"/>
      <c r="F54" s="132" t="s">
        <v>311</v>
      </c>
      <c r="G54" s="121">
        <v>40000</v>
      </c>
      <c r="H54" s="106" t="s">
        <v>605</v>
      </c>
      <c r="I54" s="107">
        <v>3</v>
      </c>
      <c r="J54" s="106" t="s">
        <v>277</v>
      </c>
      <c r="K54" s="937">
        <v>2</v>
      </c>
      <c r="L54" s="106" t="s">
        <v>605</v>
      </c>
      <c r="M54" s="108">
        <v>12</v>
      </c>
      <c r="N54" s="110" t="s">
        <v>283</v>
      </c>
      <c r="O54" s="123">
        <f t="shared" si="2"/>
        <v>2880000</v>
      </c>
      <c r="P54" s="112"/>
      <c r="Q54" s="131"/>
      <c r="R54" s="112"/>
      <c r="S54" s="113"/>
    </row>
    <row r="55" spans="1:22" ht="15" customHeight="1">
      <c r="A55" s="88"/>
      <c r="B55" s="89"/>
      <c r="C55" s="90"/>
      <c r="D55" s="89"/>
      <c r="E55" s="132"/>
      <c r="F55" s="132" t="s">
        <v>332</v>
      </c>
      <c r="G55" s="121">
        <v>45000</v>
      </c>
      <c r="H55" s="106" t="s">
        <v>277</v>
      </c>
      <c r="I55" s="107">
        <v>3</v>
      </c>
      <c r="J55" s="106" t="s">
        <v>277</v>
      </c>
      <c r="K55" s="937">
        <v>1</v>
      </c>
      <c r="L55" s="106" t="s">
        <v>605</v>
      </c>
      <c r="M55" s="108">
        <v>12</v>
      </c>
      <c r="N55" s="110" t="s">
        <v>281</v>
      </c>
      <c r="O55" s="123">
        <f t="shared" si="2"/>
        <v>1620000</v>
      </c>
      <c r="P55" s="112"/>
      <c r="Q55" s="131"/>
      <c r="R55" s="112"/>
      <c r="S55" s="113"/>
    </row>
    <row r="56" spans="1:22" ht="15" customHeight="1">
      <c r="A56" s="88"/>
      <c r="B56" s="89"/>
      <c r="C56" s="90"/>
      <c r="D56" s="89"/>
      <c r="E56" s="132"/>
      <c r="F56" s="132" t="s">
        <v>333</v>
      </c>
      <c r="G56" s="121">
        <v>50000</v>
      </c>
      <c r="H56" s="106" t="s">
        <v>277</v>
      </c>
      <c r="I56" s="107">
        <v>5</v>
      </c>
      <c r="J56" s="106" t="s">
        <v>277</v>
      </c>
      <c r="K56" s="937">
        <v>1</v>
      </c>
      <c r="L56" s="106" t="s">
        <v>277</v>
      </c>
      <c r="M56" s="108">
        <v>12</v>
      </c>
      <c r="N56" s="110" t="s">
        <v>283</v>
      </c>
      <c r="O56" s="123">
        <f t="shared" si="2"/>
        <v>3000000</v>
      </c>
      <c r="P56" s="112"/>
      <c r="Q56" s="131"/>
      <c r="R56" s="112"/>
      <c r="S56" s="113"/>
    </row>
    <row r="57" spans="1:22" ht="15" customHeight="1">
      <c r="A57" s="88"/>
      <c r="B57" s="89"/>
      <c r="C57" s="90"/>
      <c r="D57" s="89"/>
      <c r="E57" s="510" t="s">
        <v>334</v>
      </c>
      <c r="F57" s="510"/>
      <c r="G57" s="511"/>
      <c r="H57" s="510"/>
      <c r="I57" s="510"/>
      <c r="J57" s="510"/>
      <c r="K57" s="510"/>
      <c r="L57" s="510"/>
      <c r="M57" s="510"/>
      <c r="N57" s="513"/>
      <c r="O57" s="511"/>
      <c r="P57" s="171">
        <f>SUM(O58:O62)</f>
        <v>142400000</v>
      </c>
      <c r="Q57" s="171">
        <v>141960000</v>
      </c>
      <c r="R57" s="171">
        <f>+P57-Q57</f>
        <v>440000</v>
      </c>
      <c r="S57" s="172">
        <f t="shared" ref="S57" si="3">+R57/Q57</f>
        <v>3.0994646379261764E-3</v>
      </c>
      <c r="V57" s="944"/>
    </row>
    <row r="58" spans="1:22" ht="15" customHeight="1">
      <c r="A58" s="88"/>
      <c r="B58" s="89"/>
      <c r="C58" s="90"/>
      <c r="D58" s="89"/>
      <c r="E58" s="106"/>
      <c r="F58" s="106" t="s">
        <v>335</v>
      </c>
      <c r="G58" s="123">
        <v>30000</v>
      </c>
      <c r="H58" s="106" t="s">
        <v>109</v>
      </c>
      <c r="I58" s="107">
        <v>30</v>
      </c>
      <c r="J58" s="106"/>
      <c r="K58" s="106"/>
      <c r="L58" s="106"/>
      <c r="M58" s="106"/>
      <c r="N58" s="110" t="s">
        <v>110</v>
      </c>
      <c r="O58" s="123">
        <f>G58*I58</f>
        <v>900000</v>
      </c>
      <c r="P58" s="112"/>
      <c r="Q58" s="131"/>
      <c r="R58" s="112"/>
      <c r="S58" s="113"/>
    </row>
    <row r="59" spans="1:22" ht="15" customHeight="1">
      <c r="A59" s="88"/>
      <c r="B59" s="89"/>
      <c r="C59" s="90"/>
      <c r="D59" s="89"/>
      <c r="E59" s="106"/>
      <c r="F59" s="106" t="s">
        <v>336</v>
      </c>
      <c r="G59" s="123">
        <v>1000000</v>
      </c>
      <c r="H59" s="106" t="s">
        <v>109</v>
      </c>
      <c r="I59" s="142">
        <v>10</v>
      </c>
      <c r="J59" s="106"/>
      <c r="K59" s="142"/>
      <c r="L59" s="106"/>
      <c r="M59" s="106"/>
      <c r="N59" s="110" t="s">
        <v>110</v>
      </c>
      <c r="O59" s="123">
        <f>+I59*G59</f>
        <v>10000000</v>
      </c>
      <c r="P59" s="112"/>
      <c r="Q59" s="131"/>
      <c r="R59" s="112"/>
      <c r="S59" s="113"/>
      <c r="V59" s="945"/>
    </row>
    <row r="60" spans="1:22" ht="15" customHeight="1">
      <c r="A60" s="88"/>
      <c r="B60" s="89"/>
      <c r="C60" s="90"/>
      <c r="D60" s="89"/>
      <c r="E60" s="106"/>
      <c r="F60" s="106" t="s">
        <v>337</v>
      </c>
      <c r="G60" s="123">
        <v>50000</v>
      </c>
      <c r="H60" s="106" t="s">
        <v>109</v>
      </c>
      <c r="I60" s="107">
        <v>30</v>
      </c>
      <c r="J60" s="106"/>
      <c r="K60" s="142"/>
      <c r="L60" s="106"/>
      <c r="M60" s="106"/>
      <c r="N60" s="110" t="s">
        <v>110</v>
      </c>
      <c r="O60" s="123">
        <f>+I60*G60</f>
        <v>1500000</v>
      </c>
      <c r="P60" s="112"/>
      <c r="Q60" s="131"/>
      <c r="R60" s="112"/>
      <c r="S60" s="113"/>
    </row>
    <row r="61" spans="1:22" ht="15" customHeight="1">
      <c r="A61" s="88"/>
      <c r="B61" s="89"/>
      <c r="C61" s="90"/>
      <c r="D61" s="89"/>
      <c r="E61" s="106"/>
      <c r="F61" s="106" t="s">
        <v>606</v>
      </c>
      <c r="G61" s="123">
        <v>4000000</v>
      </c>
      <c r="H61" s="106" t="s">
        <v>109</v>
      </c>
      <c r="I61" s="107">
        <v>30</v>
      </c>
      <c r="J61" s="106"/>
      <c r="K61" s="142"/>
      <c r="L61" s="106"/>
      <c r="M61" s="106"/>
      <c r="N61" s="110" t="s">
        <v>110</v>
      </c>
      <c r="O61" s="123">
        <f>+I61*G61</f>
        <v>120000000</v>
      </c>
      <c r="P61" s="112"/>
      <c r="Q61" s="131"/>
      <c r="R61" s="112"/>
      <c r="S61" s="113"/>
    </row>
    <row r="62" spans="1:22" ht="15" customHeight="1">
      <c r="A62" s="88"/>
      <c r="B62" s="89"/>
      <c r="C62" s="90"/>
      <c r="D62" s="89"/>
      <c r="E62" s="106"/>
      <c r="F62" s="106" t="s">
        <v>338</v>
      </c>
      <c r="G62" s="123">
        <v>500000</v>
      </c>
      <c r="H62" s="106" t="s">
        <v>109</v>
      </c>
      <c r="I62" s="107">
        <v>20</v>
      </c>
      <c r="J62" s="106"/>
      <c r="K62" s="142"/>
      <c r="L62" s="106"/>
      <c r="M62" s="106"/>
      <c r="N62" s="110" t="s">
        <v>110</v>
      </c>
      <c r="O62" s="123">
        <f>+I62*G62</f>
        <v>10000000</v>
      </c>
      <c r="P62" s="112"/>
      <c r="Q62" s="131"/>
      <c r="R62" s="112"/>
      <c r="S62" s="113"/>
    </row>
    <row r="63" spans="1:22" s="915" customFormat="1" ht="15" customHeight="1">
      <c r="A63" s="78"/>
      <c r="B63" s="81"/>
      <c r="C63" s="82"/>
      <c r="D63" s="173" t="s">
        <v>339</v>
      </c>
      <c r="E63" s="946"/>
      <c r="F63" s="946"/>
      <c r="G63" s="947"/>
      <c r="H63" s="946"/>
      <c r="I63" s="946"/>
      <c r="J63" s="946"/>
      <c r="K63" s="946"/>
      <c r="L63" s="946"/>
      <c r="M63" s="946"/>
      <c r="N63" s="948"/>
      <c r="O63" s="947"/>
      <c r="P63" s="935">
        <f>SUM(P64:P71)</f>
        <v>3500000</v>
      </c>
      <c r="Q63" s="935">
        <f>SUM(Q64,Q67)</f>
        <v>3500000</v>
      </c>
      <c r="R63" s="935">
        <f>+P63-Q63</f>
        <v>0</v>
      </c>
      <c r="S63" s="936">
        <f>+R63/Q63</f>
        <v>0</v>
      </c>
    </row>
    <row r="64" spans="1:22" ht="15" customHeight="1">
      <c r="A64" s="88"/>
      <c r="B64" s="89"/>
      <c r="C64" s="90"/>
      <c r="D64" s="170"/>
      <c r="E64" s="510" t="s">
        <v>340</v>
      </c>
      <c r="F64" s="510"/>
      <c r="G64" s="511"/>
      <c r="H64" s="510"/>
      <c r="I64" s="510"/>
      <c r="J64" s="510"/>
      <c r="K64" s="510"/>
      <c r="L64" s="510"/>
      <c r="M64" s="510"/>
      <c r="N64" s="513"/>
      <c r="O64" s="511"/>
      <c r="P64" s="171">
        <f>ROUNDUP(O65,-3)</f>
        <v>2400000</v>
      </c>
      <c r="Q64" s="171">
        <v>2400000</v>
      </c>
      <c r="R64" s="171">
        <f>+P64-Q64</f>
        <v>0</v>
      </c>
      <c r="S64" s="172">
        <f t="shared" ref="S64" si="4">+R64/Q64</f>
        <v>0</v>
      </c>
    </row>
    <row r="65" spans="1:22" ht="15" customHeight="1">
      <c r="A65" s="88"/>
      <c r="B65" s="89"/>
      <c r="C65" s="90"/>
      <c r="D65" s="89"/>
      <c r="E65" s="106"/>
      <c r="F65" s="106" t="s">
        <v>341</v>
      </c>
      <c r="G65" s="123"/>
      <c r="H65" s="106"/>
      <c r="I65" s="106"/>
      <c r="J65" s="106"/>
      <c r="K65" s="106"/>
      <c r="L65" s="106"/>
      <c r="M65" s="106"/>
      <c r="N65" s="110"/>
      <c r="O65" s="938">
        <f>SUM(O66:O66)</f>
        <v>2400000</v>
      </c>
      <c r="P65" s="112"/>
      <c r="Q65" s="131"/>
      <c r="R65" s="112"/>
      <c r="S65" s="113"/>
    </row>
    <row r="66" spans="1:22" ht="15" customHeight="1">
      <c r="A66" s="88"/>
      <c r="B66" s="89"/>
      <c r="C66" s="90"/>
      <c r="D66" s="89"/>
      <c r="E66" s="132"/>
      <c r="F66" s="132" t="s">
        <v>342</v>
      </c>
      <c r="G66" s="121">
        <v>100000</v>
      </c>
      <c r="H66" s="106" t="s">
        <v>109</v>
      </c>
      <c r="I66" s="107">
        <v>2</v>
      </c>
      <c r="J66" s="106" t="s">
        <v>109</v>
      </c>
      <c r="K66" s="108">
        <v>12</v>
      </c>
      <c r="L66" s="106"/>
      <c r="M66" s="106"/>
      <c r="N66" s="110" t="s">
        <v>110</v>
      </c>
      <c r="O66" s="123">
        <f>G66*I66*K66</f>
        <v>2400000</v>
      </c>
      <c r="P66" s="112"/>
      <c r="Q66" s="131"/>
      <c r="R66" s="112"/>
      <c r="S66" s="113"/>
    </row>
    <row r="67" spans="1:22" ht="15" customHeight="1">
      <c r="A67" s="88"/>
      <c r="B67" s="89"/>
      <c r="C67" s="90"/>
      <c r="D67" s="89"/>
      <c r="E67" s="510" t="s">
        <v>343</v>
      </c>
      <c r="F67" s="510"/>
      <c r="G67" s="511"/>
      <c r="H67" s="510"/>
      <c r="I67" s="510"/>
      <c r="J67" s="510"/>
      <c r="K67" s="510"/>
      <c r="L67" s="510"/>
      <c r="M67" s="510"/>
      <c r="N67" s="513"/>
      <c r="O67" s="511"/>
      <c r="P67" s="171">
        <f>ROUNDUP(O68+O70,-3)</f>
        <v>1100000</v>
      </c>
      <c r="Q67" s="171">
        <v>1100000</v>
      </c>
      <c r="R67" s="171">
        <f>+P67-Q67</f>
        <v>0</v>
      </c>
      <c r="S67" s="172">
        <f t="shared" ref="S67" si="5">+R67/Q67</f>
        <v>0</v>
      </c>
    </row>
    <row r="68" spans="1:22" ht="15" customHeight="1">
      <c r="A68" s="88"/>
      <c r="B68" s="89"/>
      <c r="C68" s="90"/>
      <c r="D68" s="89"/>
      <c r="E68" s="106"/>
      <c r="F68" s="106" t="s">
        <v>344</v>
      </c>
      <c r="G68" s="123"/>
      <c r="H68" s="106"/>
      <c r="I68" s="106"/>
      <c r="J68" s="106"/>
      <c r="K68" s="106"/>
      <c r="L68" s="106"/>
      <c r="M68" s="106"/>
      <c r="N68" s="110"/>
      <c r="O68" s="938">
        <f>SUM(O69:O69)</f>
        <v>1000000</v>
      </c>
      <c r="P68" s="112"/>
      <c r="Q68" s="131"/>
      <c r="R68" s="112"/>
      <c r="S68" s="113"/>
    </row>
    <row r="69" spans="1:22" ht="15" customHeight="1">
      <c r="A69" s="88"/>
      <c r="B69" s="89"/>
      <c r="C69" s="90"/>
      <c r="D69" s="89"/>
      <c r="E69" s="132"/>
      <c r="F69" s="132" t="s">
        <v>607</v>
      </c>
      <c r="G69" s="121">
        <v>250000</v>
      </c>
      <c r="H69" s="106" t="s">
        <v>277</v>
      </c>
      <c r="I69" s="142">
        <v>4</v>
      </c>
      <c r="J69" s="106"/>
      <c r="K69" s="108"/>
      <c r="L69" s="106"/>
      <c r="M69" s="106"/>
      <c r="N69" s="110" t="s">
        <v>283</v>
      </c>
      <c r="O69" s="123">
        <f>SUM(G69*I69)</f>
        <v>1000000</v>
      </c>
      <c r="P69" s="112"/>
      <c r="Q69" s="131"/>
      <c r="R69" s="112"/>
      <c r="S69" s="113"/>
      <c r="V69" s="939"/>
    </row>
    <row r="70" spans="1:22" ht="15" customHeight="1">
      <c r="A70" s="88"/>
      <c r="B70" s="89"/>
      <c r="C70" s="90"/>
      <c r="D70" s="89"/>
      <c r="E70" s="106"/>
      <c r="F70" s="106" t="s">
        <v>345</v>
      </c>
      <c r="G70" s="123"/>
      <c r="H70" s="106"/>
      <c r="I70" s="107"/>
      <c r="J70" s="106"/>
      <c r="K70" s="108"/>
      <c r="L70" s="106"/>
      <c r="M70" s="106"/>
      <c r="N70" s="110"/>
      <c r="O70" s="938">
        <f>SUM(O71:O71)</f>
        <v>100000</v>
      </c>
      <c r="P70" s="112"/>
      <c r="Q70" s="131"/>
      <c r="R70" s="112"/>
      <c r="S70" s="113"/>
    </row>
    <row r="71" spans="1:22" ht="15" customHeight="1">
      <c r="A71" s="561"/>
      <c r="B71" s="562"/>
      <c r="C71" s="563"/>
      <c r="D71" s="562"/>
      <c r="E71" s="940"/>
      <c r="F71" s="940" t="s">
        <v>346</v>
      </c>
      <c r="G71" s="161">
        <v>100000</v>
      </c>
      <c r="H71" s="162" t="s">
        <v>277</v>
      </c>
      <c r="I71" s="963">
        <v>1</v>
      </c>
      <c r="J71" s="162"/>
      <c r="K71" s="163"/>
      <c r="L71" s="162"/>
      <c r="M71" s="162"/>
      <c r="N71" s="165" t="s">
        <v>281</v>
      </c>
      <c r="O71" s="943">
        <f>SUM(G71*I71)</f>
        <v>100000</v>
      </c>
      <c r="P71" s="167"/>
      <c r="Q71" s="168"/>
      <c r="R71" s="167"/>
      <c r="S71" s="169"/>
    </row>
    <row r="72" spans="1:22" ht="15" customHeight="1">
      <c r="A72" s="88"/>
      <c r="B72" s="89"/>
      <c r="C72" s="90"/>
      <c r="D72" s="181" t="s">
        <v>608</v>
      </c>
      <c r="E72" s="162"/>
      <c r="F72" s="162"/>
      <c r="G72" s="943"/>
      <c r="H72" s="162"/>
      <c r="I72" s="162"/>
      <c r="J72" s="162"/>
      <c r="K72" s="162"/>
      <c r="L72" s="162"/>
      <c r="M72" s="162"/>
      <c r="N72" s="165"/>
      <c r="O72" s="943"/>
      <c r="P72" s="930">
        <f>SUM(P73:P75)</f>
        <v>51000000</v>
      </c>
      <c r="Q72" s="930">
        <f>+Q73</f>
        <v>45000000</v>
      </c>
      <c r="R72" s="930">
        <f>+P72-Q72</f>
        <v>6000000</v>
      </c>
      <c r="S72" s="931">
        <f>+R72/Q72</f>
        <v>0.13333333333333333</v>
      </c>
    </row>
    <row r="73" spans="1:22" ht="15" customHeight="1">
      <c r="A73" s="88"/>
      <c r="B73" s="89"/>
      <c r="C73" s="90"/>
      <c r="D73" s="170"/>
      <c r="E73" s="510" t="s">
        <v>609</v>
      </c>
      <c r="F73" s="510"/>
      <c r="G73" s="511"/>
      <c r="H73" s="510"/>
      <c r="I73" s="510"/>
      <c r="J73" s="510"/>
      <c r="K73" s="510"/>
      <c r="L73" s="510"/>
      <c r="M73" s="510"/>
      <c r="N73" s="513"/>
      <c r="O73" s="511"/>
      <c r="P73" s="171">
        <f>ROUNDUP(O74,-3)</f>
        <v>51000000</v>
      </c>
      <c r="Q73" s="171">
        <v>45000000</v>
      </c>
      <c r="R73" s="171">
        <f>+P73-Q73</f>
        <v>6000000</v>
      </c>
      <c r="S73" s="172">
        <f t="shared" ref="S73" si="6">+R73/Q73</f>
        <v>0.13333333333333333</v>
      </c>
    </row>
    <row r="74" spans="1:22" ht="15" customHeight="1">
      <c r="A74" s="88"/>
      <c r="B74" s="89"/>
      <c r="C74" s="90"/>
      <c r="D74" s="89"/>
      <c r="E74" s="106"/>
      <c r="F74" s="106" t="s">
        <v>460</v>
      </c>
      <c r="G74" s="123"/>
      <c r="H74" s="106"/>
      <c r="I74" s="106"/>
      <c r="J74" s="106"/>
      <c r="K74" s="106"/>
      <c r="L74" s="106"/>
      <c r="M74" s="106"/>
      <c r="N74" s="110"/>
      <c r="O74" s="938">
        <f>SUM(O75:O75)</f>
        <v>51000000</v>
      </c>
      <c r="P74" s="112"/>
      <c r="Q74" s="131"/>
      <c r="R74" s="112"/>
      <c r="S74" s="113"/>
    </row>
    <row r="75" spans="1:22" ht="15" customHeight="1">
      <c r="A75" s="88"/>
      <c r="B75" s="89"/>
      <c r="C75" s="90"/>
      <c r="D75" s="562"/>
      <c r="E75" s="132"/>
      <c r="F75" s="132" t="s">
        <v>610</v>
      </c>
      <c r="G75" s="121">
        <v>2500</v>
      </c>
      <c r="H75" s="106" t="s">
        <v>282</v>
      </c>
      <c r="I75" s="949">
        <v>68</v>
      </c>
      <c r="J75" s="106" t="s">
        <v>109</v>
      </c>
      <c r="K75" s="129">
        <v>25</v>
      </c>
      <c r="L75" s="106" t="s">
        <v>109</v>
      </c>
      <c r="M75" s="108">
        <v>12</v>
      </c>
      <c r="N75" s="110" t="s">
        <v>281</v>
      </c>
      <c r="O75" s="123">
        <f>G75*I75*K75*M75</f>
        <v>51000000</v>
      </c>
      <c r="P75" s="112"/>
      <c r="Q75" s="131"/>
      <c r="R75" s="112"/>
      <c r="S75" s="113"/>
    </row>
    <row r="76" spans="1:22" s="915" customFormat="1" ht="15" customHeight="1">
      <c r="A76" s="78"/>
      <c r="B76" s="81"/>
      <c r="C76" s="174" t="s">
        <v>611</v>
      </c>
      <c r="D76" s="173"/>
      <c r="E76" s="946"/>
      <c r="F76" s="946"/>
      <c r="G76" s="947"/>
      <c r="H76" s="946"/>
      <c r="I76" s="946"/>
      <c r="J76" s="946"/>
      <c r="K76" s="946"/>
      <c r="L76" s="946"/>
      <c r="M76" s="946"/>
      <c r="N76" s="948"/>
      <c r="O76" s="947"/>
      <c r="P76" s="935">
        <f>SUM(P77,P89)</f>
        <v>861200000</v>
      </c>
      <c r="Q76" s="935">
        <f>SUM(Q77,Q81,Q89)</f>
        <v>861200000</v>
      </c>
      <c r="R76" s="935">
        <f>+P76-Q76</f>
        <v>0</v>
      </c>
      <c r="S76" s="936">
        <f>+R76/Q76</f>
        <v>0</v>
      </c>
    </row>
    <row r="77" spans="1:22" s="915" customFormat="1" ht="15" customHeight="1">
      <c r="A77" s="78"/>
      <c r="B77" s="81"/>
      <c r="C77" s="82"/>
      <c r="D77" s="173" t="s">
        <v>486</v>
      </c>
      <c r="E77" s="946"/>
      <c r="F77" s="946"/>
      <c r="G77" s="947"/>
      <c r="H77" s="946"/>
      <c r="I77" s="946"/>
      <c r="J77" s="946"/>
      <c r="K77" s="946"/>
      <c r="L77" s="946"/>
      <c r="M77" s="946"/>
      <c r="N77" s="948"/>
      <c r="O77" s="947"/>
      <c r="P77" s="935">
        <f>SUM(P78:P80)</f>
        <v>200000</v>
      </c>
      <c r="Q77" s="935">
        <f>+Q78</f>
        <v>200000</v>
      </c>
      <c r="R77" s="935">
        <f>+P77-Q77</f>
        <v>0</v>
      </c>
      <c r="S77" s="936">
        <f>+R77/Q77</f>
        <v>0</v>
      </c>
    </row>
    <row r="78" spans="1:22" ht="15" customHeight="1">
      <c r="A78" s="88"/>
      <c r="B78" s="89"/>
      <c r="C78" s="90"/>
      <c r="D78" s="170"/>
      <c r="E78" s="514" t="s">
        <v>612</v>
      </c>
      <c r="F78" s="510"/>
      <c r="G78" s="511"/>
      <c r="H78" s="510"/>
      <c r="I78" s="510"/>
      <c r="J78" s="510"/>
      <c r="K78" s="510"/>
      <c r="L78" s="510"/>
      <c r="M78" s="510"/>
      <c r="N78" s="513"/>
      <c r="O78" s="511"/>
      <c r="P78" s="171">
        <f>ROUNDUP(O79,-3)</f>
        <v>200000</v>
      </c>
      <c r="Q78" s="171">
        <v>200000</v>
      </c>
      <c r="R78" s="171">
        <f>+P78-Q78</f>
        <v>0</v>
      </c>
      <c r="S78" s="172">
        <f t="shared" ref="S78" si="7">+R78/Q78</f>
        <v>0</v>
      </c>
    </row>
    <row r="79" spans="1:22" ht="15" customHeight="1">
      <c r="A79" s="88"/>
      <c r="B79" s="89"/>
      <c r="C79" s="90"/>
      <c r="D79" s="89"/>
      <c r="E79" s="106"/>
      <c r="F79" s="106" t="s">
        <v>488</v>
      </c>
      <c r="G79" s="123"/>
      <c r="H79" s="106"/>
      <c r="I79" s="106"/>
      <c r="J79" s="106"/>
      <c r="K79" s="106"/>
      <c r="L79" s="106"/>
      <c r="M79" s="106"/>
      <c r="N79" s="110"/>
      <c r="O79" s="938">
        <f>SUM(O80:O80)</f>
        <v>200000</v>
      </c>
      <c r="P79" s="112"/>
      <c r="Q79" s="131"/>
      <c r="R79" s="112"/>
      <c r="S79" s="113"/>
    </row>
    <row r="80" spans="1:22" ht="15" customHeight="1">
      <c r="A80" s="88"/>
      <c r="B80" s="89"/>
      <c r="C80" s="90"/>
      <c r="D80" s="562"/>
      <c r="E80" s="132"/>
      <c r="F80" s="132" t="s">
        <v>489</v>
      </c>
      <c r="G80" s="121">
        <v>200000</v>
      </c>
      <c r="H80" s="106" t="s">
        <v>282</v>
      </c>
      <c r="I80" s="950">
        <v>1</v>
      </c>
      <c r="J80" s="106"/>
      <c r="K80" s="108"/>
      <c r="L80" s="106"/>
      <c r="M80" s="106"/>
      <c r="N80" s="110" t="s">
        <v>281</v>
      </c>
      <c r="O80" s="123">
        <f>G80*I80</f>
        <v>200000</v>
      </c>
      <c r="P80" s="112"/>
      <c r="Q80" s="131"/>
      <c r="R80" s="112"/>
      <c r="S80" s="113"/>
    </row>
    <row r="81" spans="1:19" s="915" customFormat="1" ht="15" customHeight="1">
      <c r="A81" s="78"/>
      <c r="B81" s="81"/>
      <c r="C81" s="82"/>
      <c r="D81" s="951" t="s">
        <v>111</v>
      </c>
      <c r="E81" s="946"/>
      <c r="F81" s="946"/>
      <c r="G81" s="947"/>
      <c r="H81" s="946"/>
      <c r="I81" s="946"/>
      <c r="J81" s="946"/>
      <c r="K81" s="946"/>
      <c r="L81" s="946"/>
      <c r="M81" s="946"/>
      <c r="N81" s="948"/>
      <c r="O81" s="947"/>
      <c r="P81" s="935">
        <f>SUM(P82:P88)</f>
        <v>0</v>
      </c>
      <c r="Q81" s="935">
        <f>SUM(Q82,Q86)</f>
        <v>0</v>
      </c>
      <c r="R81" s="935">
        <f>+P81-Q81</f>
        <v>0</v>
      </c>
      <c r="S81" s="936">
        <v>0</v>
      </c>
    </row>
    <row r="82" spans="1:19" ht="15" customHeight="1">
      <c r="A82" s="88"/>
      <c r="B82" s="89"/>
      <c r="C82" s="90"/>
      <c r="D82" s="170"/>
      <c r="E82" s="952" t="s">
        <v>490</v>
      </c>
      <c r="F82" s="510"/>
      <c r="G82" s="511"/>
      <c r="H82" s="510"/>
      <c r="I82" s="510"/>
      <c r="J82" s="510"/>
      <c r="K82" s="510"/>
      <c r="L82" s="510"/>
      <c r="M82" s="510"/>
      <c r="N82" s="513"/>
      <c r="O82" s="511"/>
      <c r="P82" s="171">
        <f>O83</f>
        <v>0</v>
      </c>
      <c r="Q82" s="171">
        <f>+O83</f>
        <v>0</v>
      </c>
      <c r="R82" s="171">
        <f>+P82-Q82</f>
        <v>0</v>
      </c>
      <c r="S82" s="172">
        <v>0</v>
      </c>
    </row>
    <row r="83" spans="1:19" ht="15" hidden="1" customHeight="1">
      <c r="A83" s="88"/>
      <c r="B83" s="89"/>
      <c r="C83" s="90"/>
      <c r="D83" s="158"/>
      <c r="E83" s="953"/>
      <c r="F83" s="954" t="s">
        <v>613</v>
      </c>
      <c r="G83" s="146"/>
      <c r="H83" s="147"/>
      <c r="I83" s="147"/>
      <c r="J83" s="147"/>
      <c r="K83" s="147"/>
      <c r="L83" s="147"/>
      <c r="M83" s="147"/>
      <c r="N83" s="149"/>
      <c r="O83" s="955">
        <f>SUM(O84:O85)</f>
        <v>0</v>
      </c>
      <c r="P83" s="956"/>
      <c r="Q83" s="152"/>
      <c r="R83" s="956"/>
      <c r="S83" s="153"/>
    </row>
    <row r="84" spans="1:19" ht="15" hidden="1" customHeight="1">
      <c r="A84" s="78"/>
      <c r="B84" s="89"/>
      <c r="C84" s="90"/>
      <c r="D84" s="90"/>
      <c r="E84" s="957"/>
      <c r="F84" s="958" t="s">
        <v>614</v>
      </c>
      <c r="G84" s="121"/>
      <c r="H84" s="106"/>
      <c r="I84" s="156"/>
      <c r="J84" s="106"/>
      <c r="K84" s="108"/>
      <c r="L84" s="106"/>
      <c r="M84" s="106"/>
      <c r="N84" s="110"/>
      <c r="O84" s="959"/>
      <c r="P84" s="960"/>
      <c r="Q84" s="131"/>
      <c r="R84" s="960"/>
      <c r="S84" s="113"/>
    </row>
    <row r="85" spans="1:19" ht="15" hidden="1" customHeight="1">
      <c r="A85" s="78"/>
      <c r="B85" s="89"/>
      <c r="C85" s="90"/>
      <c r="D85" s="89"/>
      <c r="E85" s="961"/>
      <c r="F85" s="962" t="s">
        <v>615</v>
      </c>
      <c r="G85" s="161"/>
      <c r="H85" s="162"/>
      <c r="I85" s="963"/>
      <c r="J85" s="162"/>
      <c r="K85" s="163"/>
      <c r="L85" s="162"/>
      <c r="M85" s="162"/>
      <c r="N85" s="165"/>
      <c r="O85" s="964"/>
      <c r="P85" s="965"/>
      <c r="Q85" s="168"/>
      <c r="R85" s="965"/>
      <c r="S85" s="169"/>
    </row>
    <row r="86" spans="1:19" ht="15" customHeight="1">
      <c r="A86" s="88"/>
      <c r="B86" s="89"/>
      <c r="C86" s="90"/>
      <c r="D86" s="562"/>
      <c r="E86" s="952" t="s">
        <v>616</v>
      </c>
      <c r="F86" s="510"/>
      <c r="G86" s="511"/>
      <c r="H86" s="510"/>
      <c r="I86" s="510"/>
      <c r="J86" s="510"/>
      <c r="K86" s="510"/>
      <c r="L86" s="510"/>
      <c r="M86" s="510"/>
      <c r="N86" s="513"/>
      <c r="O86" s="511"/>
      <c r="P86" s="171">
        <f>O87</f>
        <v>0</v>
      </c>
      <c r="Q86" s="171">
        <f>+O87</f>
        <v>0</v>
      </c>
      <c r="R86" s="171">
        <f>+P86-Q86</f>
        <v>0</v>
      </c>
      <c r="S86" s="172">
        <v>0</v>
      </c>
    </row>
    <row r="87" spans="1:19" ht="15" hidden="1" customHeight="1">
      <c r="A87" s="88"/>
      <c r="B87" s="89"/>
      <c r="C87" s="90"/>
      <c r="D87" s="89"/>
      <c r="E87" s="966"/>
      <c r="F87" s="967" t="s">
        <v>617</v>
      </c>
      <c r="G87" s="123"/>
      <c r="H87" s="106"/>
      <c r="I87" s="106"/>
      <c r="J87" s="106"/>
      <c r="K87" s="106"/>
      <c r="L87" s="106"/>
      <c r="M87" s="106"/>
      <c r="N87" s="110"/>
      <c r="O87" s="938">
        <f>+O88</f>
        <v>0</v>
      </c>
      <c r="P87" s="112"/>
      <c r="Q87" s="131"/>
      <c r="R87" s="112"/>
      <c r="S87" s="113"/>
    </row>
    <row r="88" spans="1:19" ht="15" hidden="1" customHeight="1">
      <c r="A88" s="78"/>
      <c r="B88" s="89"/>
      <c r="C88" s="180"/>
      <c r="D88" s="562"/>
      <c r="E88" s="940"/>
      <c r="F88" s="968" t="s">
        <v>618</v>
      </c>
      <c r="G88" s="161"/>
      <c r="H88" s="162"/>
      <c r="I88" s="963"/>
      <c r="J88" s="162"/>
      <c r="K88" s="163"/>
      <c r="L88" s="162"/>
      <c r="M88" s="162"/>
      <c r="N88" s="165"/>
      <c r="O88" s="943"/>
      <c r="P88" s="167"/>
      <c r="Q88" s="168"/>
      <c r="R88" s="167"/>
      <c r="S88" s="169"/>
    </row>
    <row r="89" spans="1:19" s="915" customFormat="1" ht="15" customHeight="1">
      <c r="A89" s="78"/>
      <c r="B89" s="81"/>
      <c r="C89" s="82"/>
      <c r="D89" s="173" t="s">
        <v>619</v>
      </c>
      <c r="E89" s="946"/>
      <c r="F89" s="946"/>
      <c r="G89" s="947"/>
      <c r="H89" s="946"/>
      <c r="I89" s="946"/>
      <c r="J89" s="946"/>
      <c r="K89" s="946"/>
      <c r="L89" s="946"/>
      <c r="M89" s="946"/>
      <c r="N89" s="948"/>
      <c r="O89" s="947"/>
      <c r="P89" s="935">
        <f>SUM(P90:P92)</f>
        <v>861000000</v>
      </c>
      <c r="Q89" s="935">
        <f>+Q90</f>
        <v>861000000</v>
      </c>
      <c r="R89" s="935">
        <f>+P89-Q89</f>
        <v>0</v>
      </c>
      <c r="S89" s="936">
        <f>+R89/Q89</f>
        <v>0</v>
      </c>
    </row>
    <row r="90" spans="1:19" ht="15" customHeight="1">
      <c r="A90" s="88"/>
      <c r="B90" s="89"/>
      <c r="C90" s="90"/>
      <c r="D90" s="170"/>
      <c r="E90" s="514" t="s">
        <v>620</v>
      </c>
      <c r="F90" s="510"/>
      <c r="G90" s="511"/>
      <c r="H90" s="510"/>
      <c r="I90" s="510"/>
      <c r="J90" s="510"/>
      <c r="K90" s="510"/>
      <c r="L90" s="510"/>
      <c r="M90" s="510"/>
      <c r="N90" s="513"/>
      <c r="O90" s="511"/>
      <c r="P90" s="171">
        <f>ROUNDUP(O91,-3)</f>
        <v>861000000</v>
      </c>
      <c r="Q90" s="171">
        <v>861000000</v>
      </c>
      <c r="R90" s="171">
        <f>+P90-Q90</f>
        <v>0</v>
      </c>
      <c r="S90" s="172">
        <f t="shared" ref="S90" si="8">+R90/Q90</f>
        <v>0</v>
      </c>
    </row>
    <row r="91" spans="1:19" ht="15" customHeight="1">
      <c r="A91" s="88"/>
      <c r="B91" s="89"/>
      <c r="C91" s="90"/>
      <c r="D91" s="89"/>
      <c r="E91" s="953"/>
      <c r="F91" s="969" t="s">
        <v>621</v>
      </c>
      <c r="G91" s="970"/>
      <c r="H91" s="969"/>
      <c r="I91" s="969"/>
      <c r="J91" s="969"/>
      <c r="K91" s="969"/>
      <c r="L91" s="969"/>
      <c r="M91" s="969"/>
      <c r="N91" s="971"/>
      <c r="O91" s="972">
        <f>SUM(O92:O92)</f>
        <v>861000000</v>
      </c>
      <c r="P91" s="151"/>
      <c r="Q91" s="152"/>
      <c r="R91" s="151"/>
      <c r="S91" s="153"/>
    </row>
    <row r="92" spans="1:19" ht="15" customHeight="1">
      <c r="A92" s="78"/>
      <c r="B92" s="562"/>
      <c r="C92" s="563"/>
      <c r="D92" s="562"/>
      <c r="E92" s="961"/>
      <c r="F92" s="973" t="s">
        <v>622</v>
      </c>
      <c r="G92" s="974">
        <v>861000000</v>
      </c>
      <c r="H92" s="927" t="s">
        <v>282</v>
      </c>
      <c r="I92" s="975">
        <v>1</v>
      </c>
      <c r="J92" s="927"/>
      <c r="K92" s="976"/>
      <c r="L92" s="927"/>
      <c r="M92" s="927"/>
      <c r="N92" s="929" t="s">
        <v>281</v>
      </c>
      <c r="O92" s="928">
        <f>G92</f>
        <v>861000000</v>
      </c>
      <c r="P92" s="167"/>
      <c r="Q92" s="168"/>
      <c r="R92" s="167"/>
      <c r="S92" s="169"/>
    </row>
    <row r="93" spans="1:19" s="915" customFormat="1" ht="15" customHeight="1">
      <c r="A93" s="88"/>
      <c r="B93" s="173" t="s">
        <v>492</v>
      </c>
      <c r="C93" s="174"/>
      <c r="D93" s="174"/>
      <c r="E93" s="946"/>
      <c r="F93" s="946"/>
      <c r="G93" s="947"/>
      <c r="H93" s="946"/>
      <c r="I93" s="946"/>
      <c r="J93" s="946"/>
      <c r="K93" s="946"/>
      <c r="L93" s="946"/>
      <c r="M93" s="946"/>
      <c r="N93" s="948"/>
      <c r="O93" s="947"/>
      <c r="P93" s="935">
        <f>P94</f>
        <v>75000000</v>
      </c>
      <c r="Q93" s="935">
        <f>+Q94</f>
        <v>79500000</v>
      </c>
      <c r="R93" s="935">
        <f>+P93-Q93</f>
        <v>-4500000</v>
      </c>
      <c r="S93" s="936">
        <f t="shared" ref="S93" si="9">+R93/Q93</f>
        <v>-5.6603773584905662E-2</v>
      </c>
    </row>
    <row r="94" spans="1:19" ht="15" customHeight="1">
      <c r="A94" s="88"/>
      <c r="B94" s="81"/>
      <c r="C94" s="174" t="s">
        <v>623</v>
      </c>
      <c r="D94" s="173"/>
      <c r="E94" s="946"/>
      <c r="F94" s="946"/>
      <c r="G94" s="947"/>
      <c r="H94" s="946"/>
      <c r="I94" s="946"/>
      <c r="J94" s="946"/>
      <c r="K94" s="946"/>
      <c r="L94" s="946"/>
      <c r="M94" s="946"/>
      <c r="N94" s="948"/>
      <c r="O94" s="947"/>
      <c r="P94" s="935">
        <f>P95</f>
        <v>75000000</v>
      </c>
      <c r="Q94" s="935">
        <f>+Q95</f>
        <v>79500000</v>
      </c>
      <c r="R94" s="935">
        <f>+P94-Q94</f>
        <v>-4500000</v>
      </c>
      <c r="S94" s="936">
        <f>+R94/Q94</f>
        <v>-5.6603773584905662E-2</v>
      </c>
    </row>
    <row r="95" spans="1:19" ht="15" customHeight="1">
      <c r="A95" s="88"/>
      <c r="B95" s="81"/>
      <c r="C95" s="977"/>
      <c r="D95" s="173" t="s">
        <v>624</v>
      </c>
      <c r="E95" s="946"/>
      <c r="F95" s="946"/>
      <c r="G95" s="947"/>
      <c r="H95" s="946"/>
      <c r="I95" s="946"/>
      <c r="J95" s="946"/>
      <c r="K95" s="946"/>
      <c r="L95" s="946"/>
      <c r="M95" s="946"/>
      <c r="N95" s="948"/>
      <c r="O95" s="947"/>
      <c r="P95" s="935">
        <f>SUM(P96)</f>
        <v>75000000</v>
      </c>
      <c r="Q95" s="935">
        <f>+Q96</f>
        <v>79500000</v>
      </c>
      <c r="R95" s="935">
        <f>+P95-Q95</f>
        <v>-4500000</v>
      </c>
      <c r="S95" s="936">
        <f>+R95/Q95</f>
        <v>-5.6603773584905662E-2</v>
      </c>
    </row>
    <row r="96" spans="1:19" ht="15" customHeight="1">
      <c r="A96" s="88"/>
      <c r="B96" s="89"/>
      <c r="C96" s="180"/>
      <c r="D96" s="170"/>
      <c r="E96" s="514" t="s">
        <v>625</v>
      </c>
      <c r="F96" s="510"/>
      <c r="G96" s="511"/>
      <c r="H96" s="510"/>
      <c r="I96" s="510"/>
      <c r="J96" s="510"/>
      <c r="K96" s="510"/>
      <c r="L96" s="510"/>
      <c r="M96" s="510"/>
      <c r="N96" s="513"/>
      <c r="O96" s="511"/>
      <c r="P96" s="171">
        <f>O97</f>
        <v>75000000</v>
      </c>
      <c r="Q96" s="171">
        <v>79500000</v>
      </c>
      <c r="R96" s="171">
        <f>+P96-Q96</f>
        <v>-4500000</v>
      </c>
      <c r="S96" s="172">
        <f t="shared" ref="S96" si="10">+R96/Q96</f>
        <v>-5.6603773584905662E-2</v>
      </c>
    </row>
    <row r="97" spans="1:19" ht="15" customHeight="1">
      <c r="A97" s="88"/>
      <c r="B97" s="89"/>
      <c r="C97" s="90"/>
      <c r="D97" s="89"/>
      <c r="E97" s="106"/>
      <c r="F97" s="106" t="s">
        <v>493</v>
      </c>
      <c r="G97" s="123"/>
      <c r="H97" s="106"/>
      <c r="I97" s="106"/>
      <c r="J97" s="106"/>
      <c r="K97" s="106"/>
      <c r="L97" s="106"/>
      <c r="M97" s="106"/>
      <c r="N97" s="110"/>
      <c r="O97" s="938">
        <f>SUM(O98)</f>
        <v>75000000</v>
      </c>
      <c r="P97" s="112"/>
      <c r="Q97" s="131"/>
      <c r="R97" s="112"/>
      <c r="S97" s="113"/>
    </row>
    <row r="98" spans="1:19" ht="15" customHeight="1" thickBot="1">
      <c r="A98" s="189"/>
      <c r="B98" s="190"/>
      <c r="C98" s="191"/>
      <c r="D98" s="190"/>
      <c r="E98" s="978"/>
      <c r="F98" s="978" t="s">
        <v>626</v>
      </c>
      <c r="G98" s="979">
        <v>75000000</v>
      </c>
      <c r="H98" s="980" t="s">
        <v>282</v>
      </c>
      <c r="I98" s="981">
        <v>1</v>
      </c>
      <c r="J98" s="980"/>
      <c r="K98" s="982"/>
      <c r="L98" s="980"/>
      <c r="M98" s="980"/>
      <c r="N98" s="983" t="s">
        <v>2435</v>
      </c>
      <c r="O98" s="984">
        <v>75000000</v>
      </c>
      <c r="P98" s="985"/>
      <c r="Q98" s="986"/>
      <c r="R98" s="985"/>
      <c r="S98" s="987"/>
    </row>
    <row r="99" spans="1:19" ht="12" customHeight="1"/>
    <row r="100" spans="1:19" ht="12" customHeight="1"/>
    <row r="101" spans="1:19" ht="12" customHeight="1"/>
    <row r="102" spans="1:19" ht="12" customHeight="1"/>
    <row r="103" spans="1:19" ht="12" customHeight="1"/>
    <row r="104" spans="1:19" ht="12" customHeight="1"/>
    <row r="105" spans="1:19" ht="12" customHeight="1"/>
    <row r="106" spans="1:19" ht="12" customHeight="1"/>
    <row r="107" spans="1:19" ht="12" customHeight="1"/>
    <row r="108" spans="1:19" ht="12" customHeight="1"/>
    <row r="109" spans="1:19" ht="12" customHeight="1"/>
    <row r="110" spans="1:19" ht="12" customHeight="1"/>
    <row r="111" spans="1:19" ht="12" customHeight="1"/>
    <row r="112" spans="1:19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</sheetData>
  <mergeCells count="8">
    <mergeCell ref="A1:S1"/>
    <mergeCell ref="R2:S2"/>
    <mergeCell ref="A3:E3"/>
    <mergeCell ref="G3:O4"/>
    <mergeCell ref="P3:P4"/>
    <mergeCell ref="Q3:Q4"/>
    <mergeCell ref="R3:R4"/>
    <mergeCell ref="S3:S4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scale="82" firstPageNumber="24" fitToHeight="0" orientation="landscape" useFirstPageNumber="1" horizontalDpi="4294967293" r:id="rId1"/>
  <headerFooter scaleWithDoc="0" alignWithMargins="0">
    <oddFooter>&amp;C&amp;P</oddFooter>
  </headerFooter>
  <rowBreaks count="1" manualBreakCount="1">
    <brk id="71" max="18" man="1"/>
  </rowBreaks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99FF"/>
    <pageSetUpPr fitToPage="1"/>
  </sheetPr>
  <dimension ref="A1:U89"/>
  <sheetViews>
    <sheetView view="pageBreakPreview" zoomScale="85" zoomScaleNormal="85" zoomScaleSheetLayoutView="85" workbookViewId="0">
      <pane xSplit="3" ySplit="6" topLeftCell="D7" activePane="bottomRight" state="frozen"/>
      <selection activeCell="V20" sqref="V20"/>
      <selection pane="topRight" activeCell="V20" sqref="V20"/>
      <selection pane="bottomLeft" activeCell="V20" sqref="V20"/>
      <selection pane="bottomRight" activeCell="V20" sqref="V20"/>
    </sheetView>
  </sheetViews>
  <sheetFormatPr defaultColWidth="9" defaultRowHeight="13.5"/>
  <cols>
    <col min="1" max="1" width="3.625" style="196" customWidth="1"/>
    <col min="2" max="4" width="3.625" style="193" customWidth="1"/>
    <col min="5" max="5" width="10.625" style="196" customWidth="1"/>
    <col min="6" max="6" width="20.625" style="196" customWidth="1"/>
    <col min="7" max="7" width="12" style="195" customWidth="1"/>
    <col min="8" max="8" width="2.125" style="196" customWidth="1"/>
    <col min="9" max="9" width="5.75" style="196" bestFit="1" customWidth="1"/>
    <col min="10" max="10" width="2.125" style="196" customWidth="1"/>
    <col min="11" max="11" width="9.75" style="196" customWidth="1"/>
    <col min="12" max="12" width="2.75" style="196" customWidth="1"/>
    <col min="13" max="13" width="9.75" style="196" customWidth="1"/>
    <col min="14" max="14" width="2.625" style="198" customWidth="1"/>
    <col min="15" max="15" width="12.625" style="196" customWidth="1"/>
    <col min="16" max="16" width="10.625" style="199" customWidth="1"/>
    <col min="17" max="18" width="10.625" style="200" customWidth="1"/>
    <col min="19" max="19" width="10.625" style="289" customWidth="1"/>
    <col min="20" max="16384" width="9" style="196"/>
  </cols>
  <sheetData>
    <row r="1" spans="1:21" s="192" customFormat="1" ht="35.1" customHeight="1">
      <c r="A1" s="1968" t="s">
        <v>791</v>
      </c>
      <c r="B1" s="1968"/>
      <c r="C1" s="1968"/>
      <c r="D1" s="1968"/>
      <c r="E1" s="1968"/>
      <c r="F1" s="1968"/>
      <c r="G1" s="1968"/>
      <c r="H1" s="1968"/>
      <c r="I1" s="1968"/>
      <c r="J1" s="1968"/>
      <c r="K1" s="1968"/>
      <c r="L1" s="1968"/>
      <c r="M1" s="1968"/>
      <c r="N1" s="1968"/>
      <c r="O1" s="1968"/>
      <c r="P1" s="1968"/>
      <c r="Q1" s="1968"/>
      <c r="R1" s="1968"/>
      <c r="S1" s="1968"/>
    </row>
    <row r="2" spans="1:21" ht="15" customHeight="1" thickBot="1">
      <c r="A2" s="192" t="s">
        <v>792</v>
      </c>
      <c r="R2" s="1969" t="s">
        <v>793</v>
      </c>
      <c r="S2" s="1969"/>
    </row>
    <row r="3" spans="1:21" s="201" customFormat="1" ht="15" customHeight="1">
      <c r="A3" s="1954" t="s">
        <v>475</v>
      </c>
      <c r="B3" s="1955"/>
      <c r="C3" s="1955"/>
      <c r="D3" s="1955"/>
      <c r="E3" s="1955"/>
      <c r="F3" s="1745"/>
      <c r="G3" s="1956" t="s">
        <v>295</v>
      </c>
      <c r="H3" s="1956"/>
      <c r="I3" s="1956"/>
      <c r="J3" s="1956"/>
      <c r="K3" s="1956"/>
      <c r="L3" s="1956"/>
      <c r="M3" s="1956"/>
      <c r="N3" s="1956"/>
      <c r="O3" s="1957"/>
      <c r="P3" s="1960" t="s">
        <v>296</v>
      </c>
      <c r="Q3" s="1962" t="s">
        <v>94</v>
      </c>
      <c r="R3" s="1964" t="s">
        <v>297</v>
      </c>
      <c r="S3" s="1966" t="s">
        <v>298</v>
      </c>
    </row>
    <row r="4" spans="1:21" s="201" customFormat="1" ht="15" customHeight="1" thickBot="1">
      <c r="A4" s="1746" t="s">
        <v>299</v>
      </c>
      <c r="B4" s="1747" t="s">
        <v>300</v>
      </c>
      <c r="C4" s="1747" t="s">
        <v>301</v>
      </c>
      <c r="D4" s="1747" t="s">
        <v>359</v>
      </c>
      <c r="E4" s="1747" t="s">
        <v>302</v>
      </c>
      <c r="F4" s="1748" t="s">
        <v>479</v>
      </c>
      <c r="G4" s="1958"/>
      <c r="H4" s="1958"/>
      <c r="I4" s="1958"/>
      <c r="J4" s="1958"/>
      <c r="K4" s="1958"/>
      <c r="L4" s="1958"/>
      <c r="M4" s="1958"/>
      <c r="N4" s="1958"/>
      <c r="O4" s="1959"/>
      <c r="P4" s="1961"/>
      <c r="Q4" s="1963"/>
      <c r="R4" s="1965"/>
      <c r="S4" s="1967"/>
    </row>
    <row r="5" spans="1:21" s="192" customFormat="1" ht="15" customHeight="1" thickBot="1">
      <c r="A5" s="923" t="s">
        <v>795</v>
      </c>
      <c r="B5" s="924"/>
      <c r="C5" s="72"/>
      <c r="D5" s="72"/>
      <c r="E5" s="72"/>
      <c r="F5" s="72"/>
      <c r="G5" s="71"/>
      <c r="H5" s="72"/>
      <c r="I5" s="72"/>
      <c r="J5" s="72"/>
      <c r="K5" s="72"/>
      <c r="L5" s="72"/>
      <c r="M5" s="72"/>
      <c r="N5" s="74"/>
      <c r="O5" s="72"/>
      <c r="P5" s="75">
        <f>P6</f>
        <v>325228000</v>
      </c>
      <c r="Q5" s="75">
        <f>Q6</f>
        <v>231000000</v>
      </c>
      <c r="R5" s="925">
        <f>+P5-Q5</f>
        <v>94228000</v>
      </c>
      <c r="S5" s="203">
        <f>+R5/Q5</f>
        <v>0.40791341991341989</v>
      </c>
      <c r="T5" s="989"/>
    </row>
    <row r="6" spans="1:21" s="192" customFormat="1" ht="15" customHeight="1">
      <c r="A6" s="204"/>
      <c r="B6" s="205" t="s">
        <v>796</v>
      </c>
      <c r="C6" s="206"/>
      <c r="D6" s="206"/>
      <c r="E6" s="206"/>
      <c r="F6" s="206"/>
      <c r="G6" s="990"/>
      <c r="H6" s="206"/>
      <c r="I6" s="206"/>
      <c r="J6" s="206"/>
      <c r="K6" s="206"/>
      <c r="L6" s="206"/>
      <c r="M6" s="206"/>
      <c r="N6" s="991"/>
      <c r="O6" s="206"/>
      <c r="P6" s="992">
        <f>P7</f>
        <v>325228000</v>
      </c>
      <c r="Q6" s="992">
        <f>Q7</f>
        <v>231000000</v>
      </c>
      <c r="R6" s="992">
        <f>+P6-Q6</f>
        <v>94228000</v>
      </c>
      <c r="S6" s="993">
        <f>+R6/Q6</f>
        <v>0.40791341991341989</v>
      </c>
    </row>
    <row r="7" spans="1:21" s="192" customFormat="1" ht="15" customHeight="1">
      <c r="A7" s="204"/>
      <c r="B7" s="222"/>
      <c r="C7" s="214" t="s">
        <v>611</v>
      </c>
      <c r="D7" s="266"/>
      <c r="E7" s="214"/>
      <c r="F7" s="214"/>
      <c r="G7" s="994"/>
      <c r="H7" s="214"/>
      <c r="I7" s="214"/>
      <c r="J7" s="214"/>
      <c r="K7" s="214"/>
      <c r="L7" s="214"/>
      <c r="M7" s="214"/>
      <c r="N7" s="202"/>
      <c r="O7" s="214"/>
      <c r="P7" s="995">
        <f>SUM(P8,P13)</f>
        <v>325228000</v>
      </c>
      <c r="Q7" s="995">
        <f>SUM(Q13)</f>
        <v>231000000</v>
      </c>
      <c r="R7" s="995">
        <f>+P7-Q7</f>
        <v>94228000</v>
      </c>
      <c r="S7" s="996">
        <f>+R7/Q7</f>
        <v>0.40791341991341989</v>
      </c>
    </row>
    <row r="8" spans="1:21" s="192" customFormat="1" ht="15" customHeight="1">
      <c r="A8" s="204"/>
      <c r="B8" s="222"/>
      <c r="C8" s="223"/>
      <c r="D8" s="266" t="s">
        <v>31</v>
      </c>
      <c r="E8" s="214"/>
      <c r="F8" s="214"/>
      <c r="G8" s="994"/>
      <c r="H8" s="214"/>
      <c r="I8" s="214"/>
      <c r="J8" s="214"/>
      <c r="K8" s="214"/>
      <c r="L8" s="214"/>
      <c r="M8" s="214"/>
      <c r="N8" s="202"/>
      <c r="O8" s="214"/>
      <c r="P8" s="995">
        <f>SUM(P9:P11)</f>
        <v>240000</v>
      </c>
      <c r="Q8" s="995">
        <v>0</v>
      </c>
      <c r="R8" s="995">
        <f>+P8-Q8</f>
        <v>240000</v>
      </c>
      <c r="S8" s="996">
        <v>1</v>
      </c>
    </row>
    <row r="9" spans="1:21" s="192" customFormat="1" ht="15" customHeight="1">
      <c r="A9" s="204"/>
      <c r="B9" s="222"/>
      <c r="C9" s="223"/>
      <c r="D9" s="267"/>
      <c r="E9" s="255" t="s">
        <v>1637</v>
      </c>
      <c r="F9" s="66"/>
      <c r="G9" s="228"/>
      <c r="H9" s="66"/>
      <c r="I9" s="66"/>
      <c r="J9" s="66"/>
      <c r="K9" s="66"/>
      <c r="L9" s="66"/>
      <c r="M9" s="66"/>
      <c r="N9" s="230"/>
      <c r="O9" s="66"/>
      <c r="P9" s="171">
        <f>ROUNDUP(O10,-3)</f>
        <v>240000</v>
      </c>
      <c r="Q9" s="171">
        <v>0</v>
      </c>
      <c r="R9" s="171">
        <f>+P9-Q9</f>
        <v>240000</v>
      </c>
      <c r="S9" s="172">
        <v>1</v>
      </c>
    </row>
    <row r="10" spans="1:21" s="192" customFormat="1" ht="15" customHeight="1">
      <c r="A10" s="204"/>
      <c r="B10" s="222"/>
      <c r="C10" s="223"/>
      <c r="D10" s="225"/>
      <c r="E10" s="240"/>
      <c r="F10" s="240" t="s">
        <v>488</v>
      </c>
      <c r="G10" s="249"/>
      <c r="H10" s="240"/>
      <c r="I10" s="240"/>
      <c r="J10" s="240"/>
      <c r="K10" s="240"/>
      <c r="L10" s="240"/>
      <c r="M10" s="240"/>
      <c r="N10" s="244"/>
      <c r="O10" s="251">
        <f>SUM(O11:O11)</f>
        <v>240000</v>
      </c>
      <c r="P10" s="235"/>
      <c r="Q10" s="997"/>
      <c r="R10" s="235"/>
      <c r="S10" s="246"/>
    </row>
    <row r="11" spans="1:21" s="192" customFormat="1" ht="15" customHeight="1">
      <c r="A11" s="204"/>
      <c r="B11" s="222"/>
      <c r="C11" s="223"/>
      <c r="D11" s="278"/>
      <c r="E11" s="998"/>
      <c r="F11" s="998" t="s">
        <v>1638</v>
      </c>
      <c r="G11" s="252">
        <v>240000</v>
      </c>
      <c r="H11" s="240" t="s">
        <v>1639</v>
      </c>
      <c r="I11" s="999">
        <v>1</v>
      </c>
      <c r="J11" s="240"/>
      <c r="K11" s="242"/>
      <c r="L11" s="240"/>
      <c r="M11" s="240"/>
      <c r="N11" s="244" t="s">
        <v>274</v>
      </c>
      <c r="O11" s="245">
        <f>G11*I11</f>
        <v>240000</v>
      </c>
      <c r="P11" s="235"/>
      <c r="Q11" s="997"/>
      <c r="R11" s="235"/>
      <c r="S11" s="246"/>
    </row>
    <row r="12" spans="1:21" s="192" customFormat="1" ht="15" customHeight="1">
      <c r="A12" s="204"/>
      <c r="B12" s="222"/>
      <c r="C12" s="223"/>
      <c r="D12" s="850" t="s">
        <v>111</v>
      </c>
      <c r="E12" s="214"/>
      <c r="F12" s="214"/>
      <c r="G12" s="994"/>
      <c r="H12" s="214"/>
      <c r="I12" s="214"/>
      <c r="J12" s="214"/>
      <c r="K12" s="214"/>
      <c r="L12" s="214"/>
      <c r="M12" s="214"/>
      <c r="N12" s="202"/>
      <c r="O12" s="214"/>
      <c r="P12" s="995">
        <v>0</v>
      </c>
      <c r="Q12" s="995">
        <v>0</v>
      </c>
      <c r="R12" s="995">
        <v>0</v>
      </c>
      <c r="S12" s="996">
        <v>0</v>
      </c>
      <c r="U12" s="989"/>
    </row>
    <row r="13" spans="1:21" s="192" customFormat="1" ht="15" customHeight="1">
      <c r="A13" s="204"/>
      <c r="B13" s="222"/>
      <c r="C13" s="223"/>
      <c r="D13" s="266" t="s">
        <v>491</v>
      </c>
      <c r="E13" s="214"/>
      <c r="F13" s="214"/>
      <c r="G13" s="994"/>
      <c r="H13" s="214"/>
      <c r="I13" s="214"/>
      <c r="J13" s="214"/>
      <c r="K13" s="214"/>
      <c r="L13" s="214"/>
      <c r="M13" s="214"/>
      <c r="N13" s="202"/>
      <c r="O13" s="214"/>
      <c r="P13" s="995">
        <f>SUM(P14:P16)</f>
        <v>324988000</v>
      </c>
      <c r="Q13" s="995">
        <f>Q14</f>
        <v>231000000</v>
      </c>
      <c r="R13" s="995">
        <f t="shared" ref="R13:R14" si="0">+P13-Q13</f>
        <v>93988000</v>
      </c>
      <c r="S13" s="996">
        <f>+R13/Q13</f>
        <v>0.40687445887445889</v>
      </c>
    </row>
    <row r="14" spans="1:21" ht="15" customHeight="1">
      <c r="A14" s="224"/>
      <c r="B14" s="225"/>
      <c r="C14" s="226"/>
      <c r="D14" s="267"/>
      <c r="E14" s="255" t="s">
        <v>797</v>
      </c>
      <c r="F14" s="66"/>
      <c r="G14" s="228"/>
      <c r="H14" s="66"/>
      <c r="I14" s="66"/>
      <c r="J14" s="66"/>
      <c r="K14" s="66"/>
      <c r="L14" s="66"/>
      <c r="M14" s="66"/>
      <c r="N14" s="230"/>
      <c r="O14" s="66"/>
      <c r="P14" s="171">
        <f>ROUNDUP(O15,-3)</f>
        <v>324988000</v>
      </c>
      <c r="Q14" s="171">
        <v>231000000</v>
      </c>
      <c r="R14" s="171">
        <f t="shared" si="0"/>
        <v>93988000</v>
      </c>
      <c r="S14" s="172">
        <f t="shared" ref="S14" si="1">+R14/Q14</f>
        <v>0.40687445887445889</v>
      </c>
    </row>
    <row r="15" spans="1:21" ht="15" customHeight="1">
      <c r="A15" s="224"/>
      <c r="B15" s="225"/>
      <c r="C15" s="226"/>
      <c r="D15" s="225"/>
      <c r="E15" s="1000"/>
      <c r="F15" s="969" t="s">
        <v>621</v>
      </c>
      <c r="G15" s="1001"/>
      <c r="H15" s="1002"/>
      <c r="I15" s="1002"/>
      <c r="J15" s="1002"/>
      <c r="K15" s="1002"/>
      <c r="L15" s="1002"/>
      <c r="M15" s="1002"/>
      <c r="N15" s="1002"/>
      <c r="O15" s="1003">
        <f>SUM(O16:O16)</f>
        <v>324988000</v>
      </c>
      <c r="P15" s="263"/>
      <c r="Q15" s="1004"/>
      <c r="R15" s="263"/>
      <c r="S15" s="264"/>
    </row>
    <row r="16" spans="1:21" ht="15" customHeight="1" thickBot="1">
      <c r="A16" s="1005"/>
      <c r="B16" s="426"/>
      <c r="C16" s="1006"/>
      <c r="D16" s="426"/>
      <c r="E16" s="432"/>
      <c r="F16" s="1007" t="s">
        <v>798</v>
      </c>
      <c r="G16" s="1008">
        <v>324988000</v>
      </c>
      <c r="H16" s="1009" t="s">
        <v>282</v>
      </c>
      <c r="I16" s="1010">
        <v>1</v>
      </c>
      <c r="J16" s="1011"/>
      <c r="K16" s="1012"/>
      <c r="L16" s="1011"/>
      <c r="M16" s="1011"/>
      <c r="N16" s="1011" t="s">
        <v>281</v>
      </c>
      <c r="O16" s="1013">
        <f>G16*I16</f>
        <v>324988000</v>
      </c>
      <c r="P16" s="1014"/>
      <c r="Q16" s="1015"/>
      <c r="R16" s="1014"/>
      <c r="S16" s="1016"/>
    </row>
    <row r="17" spans="6:15" ht="15" customHeight="1">
      <c r="O17" s="192"/>
    </row>
    <row r="18" spans="6:15" ht="15" customHeight="1"/>
    <row r="19" spans="6:15" ht="15" customHeight="1"/>
    <row r="20" spans="6:15" ht="15" customHeight="1"/>
    <row r="21" spans="6:15" ht="15" customHeight="1">
      <c r="M21" s="275"/>
    </row>
    <row r="22" spans="6:15" ht="15" customHeight="1"/>
    <row r="23" spans="6:15" ht="15" customHeight="1"/>
    <row r="24" spans="6:15" ht="15" customHeight="1">
      <c r="K24" s="275"/>
    </row>
    <row r="25" spans="6:15" ht="15" customHeight="1"/>
    <row r="26" spans="6:15" ht="15" customHeight="1"/>
    <row r="27" spans="6:15" ht="15" customHeight="1"/>
    <row r="28" spans="6:15" ht="15" customHeight="1"/>
    <row r="29" spans="6:15" ht="15" customHeight="1"/>
    <row r="30" spans="6:15" ht="15" customHeight="1"/>
    <row r="31" spans="6:15" ht="15" customHeight="1"/>
    <row r="32" spans="6:15" ht="12" customHeight="1">
      <c r="F32" s="1017"/>
    </row>
    <row r="33" spans="6:6" ht="12" customHeight="1">
      <c r="F33" s="1017"/>
    </row>
    <row r="34" spans="6:6" ht="12" customHeight="1"/>
    <row r="35" spans="6:6" ht="12" customHeight="1">
      <c r="F35" s="1018"/>
    </row>
    <row r="36" spans="6:6" ht="12" customHeight="1"/>
    <row r="37" spans="6:6" ht="12" customHeight="1"/>
    <row r="38" spans="6:6" ht="12" customHeight="1"/>
    <row r="39" spans="6:6" ht="12" customHeight="1"/>
    <row r="40" spans="6:6" ht="12" customHeight="1"/>
    <row r="41" spans="6:6" ht="12" customHeight="1"/>
    <row r="42" spans="6:6" ht="12" customHeight="1"/>
    <row r="43" spans="6:6" ht="12" customHeight="1"/>
    <row r="44" spans="6:6" ht="12" customHeight="1"/>
    <row r="45" spans="6:6" ht="12" customHeight="1"/>
    <row r="46" spans="6:6" ht="12" customHeight="1"/>
    <row r="47" spans="6:6" ht="12" customHeight="1"/>
    <row r="48" spans="6:6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</sheetData>
  <mergeCells count="8">
    <mergeCell ref="A1:S1"/>
    <mergeCell ref="R2:S2"/>
    <mergeCell ref="A3:E3"/>
    <mergeCell ref="G3:O4"/>
    <mergeCell ref="P3:P4"/>
    <mergeCell ref="Q3:Q4"/>
    <mergeCell ref="R3:R4"/>
    <mergeCell ref="S3:S4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scale="80" firstPageNumber="27" fitToHeight="0" orientation="landscape" useFirstPageNumber="1" horizontalDpi="4294967293" r:id="rId1"/>
  <headerFooter scaleWithDoc="0" alignWithMargins="0">
    <oddFooter>&amp;C&amp;P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99FF"/>
    <pageSetUpPr fitToPage="1"/>
  </sheetPr>
  <dimension ref="A1:V105"/>
  <sheetViews>
    <sheetView view="pageBreakPreview" zoomScaleNormal="86" zoomScaleSheetLayoutView="100" workbookViewId="0">
      <pane ySplit="6" topLeftCell="A10" activePane="bottomLeft" state="frozen"/>
      <selection activeCell="V20" sqref="V20"/>
      <selection pane="bottomLeft" activeCell="V20" sqref="V20"/>
    </sheetView>
  </sheetViews>
  <sheetFormatPr defaultColWidth="9" defaultRowHeight="13.5"/>
  <cols>
    <col min="1" max="1" width="3.625" style="196" customWidth="1"/>
    <col min="2" max="4" width="3.625" style="193" customWidth="1"/>
    <col min="5" max="5" width="10.625" style="196" customWidth="1"/>
    <col min="6" max="6" width="20.625" style="196" customWidth="1"/>
    <col min="7" max="7" width="12.75" style="195" bestFit="1" customWidth="1"/>
    <col min="8" max="8" width="2.125" style="196" customWidth="1"/>
    <col min="9" max="9" width="5.875" style="196" bestFit="1" customWidth="1"/>
    <col min="10" max="10" width="2.125" style="196" customWidth="1"/>
    <col min="11" max="11" width="4.875" style="196" bestFit="1" customWidth="1"/>
    <col min="12" max="12" width="2.75" style="196" customWidth="1"/>
    <col min="13" max="13" width="4.875" style="196" bestFit="1" customWidth="1"/>
    <col min="14" max="14" width="2.625" style="198" customWidth="1"/>
    <col min="15" max="15" width="12.625" style="196" customWidth="1"/>
    <col min="16" max="16" width="10.625" style="199" customWidth="1"/>
    <col min="17" max="18" width="10.625" style="200" customWidth="1"/>
    <col min="19" max="19" width="10.625" style="289" customWidth="1"/>
    <col min="20" max="16384" width="9" style="196"/>
  </cols>
  <sheetData>
    <row r="1" spans="1:22" s="192" customFormat="1" ht="35.1" customHeight="1">
      <c r="A1" s="1968" t="s">
        <v>844</v>
      </c>
      <c r="B1" s="1968"/>
      <c r="C1" s="1968"/>
      <c r="D1" s="1968"/>
      <c r="E1" s="1968"/>
      <c r="F1" s="1968"/>
      <c r="G1" s="1968"/>
      <c r="H1" s="1968"/>
      <c r="I1" s="1968"/>
      <c r="J1" s="1968"/>
      <c r="K1" s="1968"/>
      <c r="L1" s="1968"/>
      <c r="M1" s="1968"/>
      <c r="N1" s="1968"/>
      <c r="O1" s="1968"/>
      <c r="P1" s="1968"/>
      <c r="Q1" s="1968"/>
      <c r="R1" s="1968"/>
      <c r="S1" s="1968"/>
    </row>
    <row r="2" spans="1:22" ht="15" customHeight="1" thickBot="1">
      <c r="A2" s="192" t="s">
        <v>351</v>
      </c>
      <c r="R2" s="1969" t="s">
        <v>352</v>
      </c>
      <c r="S2" s="1969"/>
    </row>
    <row r="3" spans="1:22" s="201" customFormat="1" ht="15" customHeight="1">
      <c r="A3" s="1954" t="s">
        <v>475</v>
      </c>
      <c r="B3" s="1955"/>
      <c r="C3" s="1955"/>
      <c r="D3" s="1955"/>
      <c r="E3" s="1955"/>
      <c r="F3" s="1745"/>
      <c r="G3" s="1956" t="s">
        <v>295</v>
      </c>
      <c r="H3" s="1956"/>
      <c r="I3" s="1956"/>
      <c r="J3" s="1956"/>
      <c r="K3" s="1956"/>
      <c r="L3" s="1956"/>
      <c r="M3" s="1956"/>
      <c r="N3" s="1956"/>
      <c r="O3" s="1957"/>
      <c r="P3" s="1960" t="s">
        <v>296</v>
      </c>
      <c r="Q3" s="1962" t="s">
        <v>94</v>
      </c>
      <c r="R3" s="1964" t="s">
        <v>297</v>
      </c>
      <c r="S3" s="1966" t="s">
        <v>298</v>
      </c>
    </row>
    <row r="4" spans="1:22" s="201" customFormat="1" ht="15" customHeight="1" thickBot="1">
      <c r="A4" s="1746" t="s">
        <v>299</v>
      </c>
      <c r="B4" s="1747" t="s">
        <v>300</v>
      </c>
      <c r="C4" s="1747" t="s">
        <v>301</v>
      </c>
      <c r="D4" s="1747" t="s">
        <v>359</v>
      </c>
      <c r="E4" s="1747" t="s">
        <v>302</v>
      </c>
      <c r="F4" s="1748" t="s">
        <v>479</v>
      </c>
      <c r="G4" s="1958"/>
      <c r="H4" s="1958"/>
      <c r="I4" s="1958"/>
      <c r="J4" s="1958"/>
      <c r="K4" s="1958"/>
      <c r="L4" s="1958"/>
      <c r="M4" s="1958"/>
      <c r="N4" s="1958"/>
      <c r="O4" s="1959"/>
      <c r="P4" s="1961"/>
      <c r="Q4" s="1963"/>
      <c r="R4" s="1965"/>
      <c r="S4" s="1967"/>
    </row>
    <row r="5" spans="1:22" s="192" customFormat="1" ht="15" customHeight="1" thickBot="1">
      <c r="A5" s="923" t="s">
        <v>2612</v>
      </c>
      <c r="B5" s="924"/>
      <c r="C5" s="72"/>
      <c r="D5" s="72"/>
      <c r="E5" s="72"/>
      <c r="F5" s="72"/>
      <c r="G5" s="71"/>
      <c r="H5" s="72"/>
      <c r="I5" s="72"/>
      <c r="J5" s="72"/>
      <c r="K5" s="72"/>
      <c r="L5" s="72"/>
      <c r="M5" s="72"/>
      <c r="N5" s="74"/>
      <c r="O5" s="72"/>
      <c r="P5" s="75">
        <f>P6+P28</f>
        <v>358138000</v>
      </c>
      <c r="Q5" s="75">
        <f>Q6+Q28</f>
        <v>245371380</v>
      </c>
      <c r="R5" s="925">
        <f>+P5-Q5</f>
        <v>112766620</v>
      </c>
      <c r="S5" s="203">
        <f>+R5/Q5</f>
        <v>0.45957527727968928</v>
      </c>
    </row>
    <row r="6" spans="1:22" s="192" customFormat="1" ht="15" customHeight="1">
      <c r="A6" s="204"/>
      <c r="B6" s="205" t="s">
        <v>846</v>
      </c>
      <c r="C6" s="206"/>
      <c r="D6" s="206"/>
      <c r="E6" s="209"/>
      <c r="F6" s="209"/>
      <c r="G6" s="208"/>
      <c r="H6" s="209"/>
      <c r="I6" s="209"/>
      <c r="J6" s="209"/>
      <c r="K6" s="209"/>
      <c r="L6" s="209"/>
      <c r="M6" s="209"/>
      <c r="N6" s="210"/>
      <c r="O6" s="209"/>
      <c r="P6" s="211">
        <f>SUM(P7,P16)</f>
        <v>344138000</v>
      </c>
      <c r="Q6" s="211">
        <f>SUM(Q7,Q16)</f>
        <v>233650000</v>
      </c>
      <c r="R6" s="211">
        <f>+P6-Q6</f>
        <v>110488000</v>
      </c>
      <c r="S6" s="212">
        <f>+R6/Q6</f>
        <v>0.47287823667879308</v>
      </c>
    </row>
    <row r="7" spans="1:22" s="192" customFormat="1" ht="15" customHeight="1">
      <c r="A7" s="204"/>
      <c r="B7" s="213"/>
      <c r="C7" s="214" t="s">
        <v>847</v>
      </c>
      <c r="D7" s="214"/>
      <c r="E7" s="217"/>
      <c r="F7" s="217"/>
      <c r="G7" s="216"/>
      <c r="H7" s="217"/>
      <c r="I7" s="217"/>
      <c r="J7" s="217"/>
      <c r="K7" s="217"/>
      <c r="L7" s="217"/>
      <c r="M7" s="217"/>
      <c r="N7" s="219"/>
      <c r="O7" s="217"/>
      <c r="P7" s="220">
        <f>SUM(P8,P12)</f>
        <v>12690000</v>
      </c>
      <c r="Q7" s="220">
        <f>SUM(Q8,Q12)</f>
        <v>12000000</v>
      </c>
      <c r="R7" s="220">
        <f>+P7-Q7</f>
        <v>690000</v>
      </c>
      <c r="S7" s="221">
        <f>+R7/Q7</f>
        <v>5.7500000000000002E-2</v>
      </c>
    </row>
    <row r="8" spans="1:22" s="192" customFormat="1" ht="15" customHeight="1">
      <c r="A8" s="204"/>
      <c r="B8" s="222"/>
      <c r="C8" s="223"/>
      <c r="D8" s="266" t="s">
        <v>848</v>
      </c>
      <c r="E8" s="217"/>
      <c r="F8" s="217"/>
      <c r="G8" s="216"/>
      <c r="H8" s="217"/>
      <c r="I8" s="217"/>
      <c r="J8" s="217"/>
      <c r="K8" s="217"/>
      <c r="L8" s="217"/>
      <c r="M8" s="217"/>
      <c r="N8" s="219"/>
      <c r="O8" s="217"/>
      <c r="P8" s="220">
        <f>SUM(P9:P11)</f>
        <v>8690000</v>
      </c>
      <c r="Q8" s="220">
        <f>SUM(Q9:Q11)</f>
        <v>10000000</v>
      </c>
      <c r="R8" s="220">
        <f>+P8-Q8</f>
        <v>-1310000</v>
      </c>
      <c r="S8" s="221">
        <f t="shared" ref="S8:S9" si="0">+R8/Q8</f>
        <v>-0.13100000000000001</v>
      </c>
    </row>
    <row r="9" spans="1:22" ht="15" customHeight="1">
      <c r="A9" s="224"/>
      <c r="B9" s="225"/>
      <c r="C9" s="226"/>
      <c r="D9" s="225"/>
      <c r="E9" s="66" t="s">
        <v>849</v>
      </c>
      <c r="F9" s="66"/>
      <c r="G9" s="228"/>
      <c r="H9" s="66"/>
      <c r="I9" s="66"/>
      <c r="J9" s="66"/>
      <c r="K9" s="66"/>
      <c r="L9" s="66"/>
      <c r="M9" s="66"/>
      <c r="N9" s="230"/>
      <c r="O9" s="66"/>
      <c r="P9" s="171">
        <f>SUM(O10)</f>
        <v>8690000</v>
      </c>
      <c r="Q9" s="171">
        <v>10000000</v>
      </c>
      <c r="R9" s="171">
        <f>+P9-Q9</f>
        <v>-1310000</v>
      </c>
      <c r="S9" s="172">
        <f t="shared" si="0"/>
        <v>-0.13100000000000001</v>
      </c>
    </row>
    <row r="10" spans="1:22" ht="15" customHeight="1">
      <c r="A10" s="224"/>
      <c r="B10" s="225"/>
      <c r="C10" s="226"/>
      <c r="D10" s="225"/>
      <c r="E10" s="240"/>
      <c r="F10" s="240" t="s">
        <v>850</v>
      </c>
      <c r="G10" s="249"/>
      <c r="H10" s="240"/>
      <c r="I10" s="241"/>
      <c r="J10" s="240"/>
      <c r="K10" s="240"/>
      <c r="L10" s="240"/>
      <c r="M10" s="240"/>
      <c r="N10" s="244"/>
      <c r="O10" s="251">
        <f>SUM(O11:O11)</f>
        <v>8690000</v>
      </c>
      <c r="P10" s="235"/>
      <c r="Q10" s="997"/>
      <c r="R10" s="235"/>
      <c r="S10" s="246"/>
    </row>
    <row r="11" spans="1:22" ht="15" customHeight="1">
      <c r="A11" s="224"/>
      <c r="B11" s="225"/>
      <c r="C11" s="226"/>
      <c r="D11" s="225"/>
      <c r="E11" s="240"/>
      <c r="F11" s="998" t="s">
        <v>482</v>
      </c>
      <c r="G11" s="249">
        <v>8690000</v>
      </c>
      <c r="H11" s="240" t="s">
        <v>109</v>
      </c>
      <c r="I11" s="999">
        <v>1</v>
      </c>
      <c r="J11" s="240"/>
      <c r="K11" s="240"/>
      <c r="L11" s="240"/>
      <c r="M11" s="240"/>
      <c r="N11" s="244" t="s">
        <v>281</v>
      </c>
      <c r="O11" s="249">
        <f>G11*I11</f>
        <v>8690000</v>
      </c>
      <c r="P11" s="235"/>
      <c r="Q11" s="997"/>
      <c r="R11" s="235"/>
      <c r="S11" s="246"/>
    </row>
    <row r="12" spans="1:22" s="192" customFormat="1" ht="15" customHeight="1">
      <c r="A12" s="204"/>
      <c r="B12" s="222"/>
      <c r="C12" s="223"/>
      <c r="D12" s="266" t="s">
        <v>483</v>
      </c>
      <c r="E12" s="217"/>
      <c r="F12" s="217"/>
      <c r="G12" s="216"/>
      <c r="H12" s="217"/>
      <c r="I12" s="217"/>
      <c r="J12" s="217"/>
      <c r="K12" s="217"/>
      <c r="L12" s="217"/>
      <c r="M12" s="217"/>
      <c r="N12" s="219"/>
      <c r="O12" s="217"/>
      <c r="P12" s="220">
        <f>SUM(P13:P15)</f>
        <v>4000000</v>
      </c>
      <c r="Q12" s="220">
        <f>SUM(Q13:Q15)</f>
        <v>2000000</v>
      </c>
      <c r="R12" s="220">
        <f>+P12-Q12</f>
        <v>2000000</v>
      </c>
      <c r="S12" s="221">
        <f>+R12/Q12</f>
        <v>1</v>
      </c>
    </row>
    <row r="13" spans="1:22" ht="15" customHeight="1">
      <c r="A13" s="224"/>
      <c r="B13" s="225"/>
      <c r="C13" s="226"/>
      <c r="D13" s="267"/>
      <c r="E13" s="66" t="s">
        <v>340</v>
      </c>
      <c r="F13" s="66"/>
      <c r="G13" s="228"/>
      <c r="H13" s="66"/>
      <c r="I13" s="66"/>
      <c r="J13" s="66"/>
      <c r="K13" s="66"/>
      <c r="L13" s="66"/>
      <c r="M13" s="66"/>
      <c r="N13" s="230"/>
      <c r="O13" s="66"/>
      <c r="P13" s="171">
        <f>ROUNDUP(O14,-3)</f>
        <v>4000000</v>
      </c>
      <c r="Q13" s="171">
        <v>2000000</v>
      </c>
      <c r="R13" s="171">
        <f>+P13-Q13</f>
        <v>2000000</v>
      </c>
      <c r="S13" s="172">
        <f t="shared" ref="S13" si="1">+R13/Q13</f>
        <v>1</v>
      </c>
    </row>
    <row r="14" spans="1:22" ht="15" customHeight="1">
      <c r="A14" s="224"/>
      <c r="B14" s="225"/>
      <c r="C14" s="226"/>
      <c r="D14" s="225"/>
      <c r="E14" s="240"/>
      <c r="F14" s="240" t="s">
        <v>341</v>
      </c>
      <c r="G14" s="249"/>
      <c r="H14" s="240"/>
      <c r="I14" s="240"/>
      <c r="J14" s="240"/>
      <c r="K14" s="240"/>
      <c r="L14" s="240"/>
      <c r="M14" s="240"/>
      <c r="N14" s="244"/>
      <c r="O14" s="251">
        <f>SUM(O15)</f>
        <v>4000000</v>
      </c>
      <c r="P14" s="235"/>
      <c r="Q14" s="997"/>
      <c r="R14" s="235"/>
      <c r="S14" s="246"/>
      <c r="V14" s="236"/>
    </row>
    <row r="15" spans="1:22" ht="15" customHeight="1">
      <c r="A15" s="224"/>
      <c r="B15" s="225"/>
      <c r="C15" s="226"/>
      <c r="D15" s="225"/>
      <c r="E15" s="998"/>
      <c r="F15" s="998" t="s">
        <v>484</v>
      </c>
      <c r="G15" s="252">
        <v>4000000</v>
      </c>
      <c r="H15" s="240" t="s">
        <v>109</v>
      </c>
      <c r="I15" s="999">
        <v>1</v>
      </c>
      <c r="J15" s="240"/>
      <c r="K15" s="242"/>
      <c r="L15" s="240"/>
      <c r="M15" s="240"/>
      <c r="N15" s="244" t="s">
        <v>110</v>
      </c>
      <c r="O15" s="249">
        <f>G15*I15</f>
        <v>4000000</v>
      </c>
      <c r="P15" s="235"/>
      <c r="Q15" s="997"/>
      <c r="R15" s="235"/>
      <c r="S15" s="246"/>
    </row>
    <row r="16" spans="1:22" ht="15" customHeight="1">
      <c r="A16" s="204"/>
      <c r="B16" s="222"/>
      <c r="C16" s="214" t="s">
        <v>611</v>
      </c>
      <c r="D16" s="266"/>
      <c r="E16" s="217"/>
      <c r="F16" s="217"/>
      <c r="G16" s="216"/>
      <c r="H16" s="217"/>
      <c r="I16" s="217"/>
      <c r="J16" s="217"/>
      <c r="K16" s="217"/>
      <c r="L16" s="217"/>
      <c r="M16" s="217"/>
      <c r="N16" s="219"/>
      <c r="O16" s="217"/>
      <c r="P16" s="220">
        <f>SUM(P17,P21,P24)</f>
        <v>331448000</v>
      </c>
      <c r="Q16" s="220">
        <f>SUM(Q17,Q21,Q24)</f>
        <v>221650000</v>
      </c>
      <c r="R16" s="220">
        <f>+P16-Q16</f>
        <v>109798000</v>
      </c>
      <c r="S16" s="221">
        <f>+R16/Q16</f>
        <v>0.49536656891495601</v>
      </c>
    </row>
    <row r="17" spans="1:19" ht="15" customHeight="1">
      <c r="A17" s="204"/>
      <c r="B17" s="222"/>
      <c r="C17" s="223"/>
      <c r="D17" s="266" t="s">
        <v>486</v>
      </c>
      <c r="E17" s="217"/>
      <c r="F17" s="217"/>
      <c r="G17" s="216"/>
      <c r="H17" s="217"/>
      <c r="I17" s="217"/>
      <c r="J17" s="217"/>
      <c r="K17" s="217"/>
      <c r="L17" s="217"/>
      <c r="M17" s="217"/>
      <c r="N17" s="219"/>
      <c r="O17" s="217"/>
      <c r="P17" s="220">
        <f>SUM(P18:P20)</f>
        <v>100000</v>
      </c>
      <c r="Q17" s="220">
        <f>SUM(Q18:Q20)</f>
        <v>100000</v>
      </c>
      <c r="R17" s="220">
        <f>+P17-Q17</f>
        <v>0</v>
      </c>
      <c r="S17" s="221">
        <f>+R17/Q17</f>
        <v>0</v>
      </c>
    </row>
    <row r="18" spans="1:19" ht="15" customHeight="1">
      <c r="A18" s="224"/>
      <c r="B18" s="225"/>
      <c r="C18" s="226"/>
      <c r="D18" s="267"/>
      <c r="E18" s="255" t="s">
        <v>612</v>
      </c>
      <c r="F18" s="66"/>
      <c r="G18" s="228"/>
      <c r="H18" s="66"/>
      <c r="I18" s="66"/>
      <c r="J18" s="66"/>
      <c r="K18" s="66"/>
      <c r="L18" s="66"/>
      <c r="M18" s="66"/>
      <c r="N18" s="230"/>
      <c r="O18" s="66"/>
      <c r="P18" s="171">
        <f>ROUNDUP(O19,-3)</f>
        <v>100000</v>
      </c>
      <c r="Q18" s="171">
        <v>100000</v>
      </c>
      <c r="R18" s="171">
        <f>+P18-Q18</f>
        <v>0</v>
      </c>
      <c r="S18" s="172">
        <f t="shared" ref="S18" si="2">+R18/Q18</f>
        <v>0</v>
      </c>
    </row>
    <row r="19" spans="1:19" ht="15" customHeight="1">
      <c r="A19" s="224"/>
      <c r="B19" s="225"/>
      <c r="C19" s="226"/>
      <c r="D19" s="225"/>
      <c r="E19" s="240"/>
      <c r="F19" s="240" t="s">
        <v>488</v>
      </c>
      <c r="G19" s="249"/>
      <c r="H19" s="240"/>
      <c r="I19" s="240"/>
      <c r="J19" s="240"/>
      <c r="K19" s="240"/>
      <c r="L19" s="240"/>
      <c r="M19" s="240"/>
      <c r="N19" s="244"/>
      <c r="O19" s="251">
        <f>SUM(O20)</f>
        <v>100000</v>
      </c>
      <c r="P19" s="235"/>
      <c r="Q19" s="997"/>
      <c r="R19" s="235"/>
      <c r="S19" s="246"/>
    </row>
    <row r="20" spans="1:19" ht="15" customHeight="1">
      <c r="A20" s="224"/>
      <c r="B20" s="225"/>
      <c r="C20" s="226"/>
      <c r="D20" s="278"/>
      <c r="E20" s="998"/>
      <c r="F20" s="998" t="s">
        <v>489</v>
      </c>
      <c r="G20" s="252">
        <v>100000</v>
      </c>
      <c r="H20" s="240" t="s">
        <v>282</v>
      </c>
      <c r="I20" s="999">
        <v>1</v>
      </c>
      <c r="J20" s="240"/>
      <c r="K20" s="242"/>
      <c r="L20" s="240"/>
      <c r="M20" s="240"/>
      <c r="N20" s="244" t="s">
        <v>281</v>
      </c>
      <c r="O20" s="249">
        <f>G20*I20</f>
        <v>100000</v>
      </c>
      <c r="P20" s="235"/>
      <c r="Q20" s="997"/>
      <c r="R20" s="235"/>
      <c r="S20" s="246"/>
    </row>
    <row r="21" spans="1:19" ht="15" customHeight="1">
      <c r="A21" s="204"/>
      <c r="B21" s="222"/>
      <c r="C21" s="223"/>
      <c r="D21" s="850" t="s">
        <v>111</v>
      </c>
      <c r="E21" s="217"/>
      <c r="F21" s="217"/>
      <c r="G21" s="216"/>
      <c r="H21" s="217"/>
      <c r="I21" s="217"/>
      <c r="J21" s="217"/>
      <c r="K21" s="217"/>
      <c r="L21" s="217"/>
      <c r="M21" s="217"/>
      <c r="N21" s="219"/>
      <c r="O21" s="217"/>
      <c r="P21" s="220">
        <f>SUM(P22:P23)</f>
        <v>0</v>
      </c>
      <c r="Q21" s="220">
        <f>SUM(Q22:Q23)</f>
        <v>0</v>
      </c>
      <c r="R21" s="220">
        <f>+P21-Q21</f>
        <v>0</v>
      </c>
      <c r="S21" s="221">
        <v>0</v>
      </c>
    </row>
    <row r="22" spans="1:19" ht="15" customHeight="1">
      <c r="A22" s="224"/>
      <c r="B22" s="225"/>
      <c r="C22" s="226"/>
      <c r="D22" s="267"/>
      <c r="E22" s="861" t="s">
        <v>490</v>
      </c>
      <c r="F22" s="66"/>
      <c r="G22" s="228"/>
      <c r="H22" s="66"/>
      <c r="I22" s="66"/>
      <c r="J22" s="66"/>
      <c r="K22" s="66"/>
      <c r="L22" s="66"/>
      <c r="M22" s="66"/>
      <c r="N22" s="230"/>
      <c r="O22" s="66"/>
      <c r="P22" s="171">
        <f>ROUNDUP(O23,-3)</f>
        <v>0</v>
      </c>
      <c r="Q22" s="171">
        <v>0</v>
      </c>
      <c r="R22" s="171">
        <f>+P22-Q22</f>
        <v>0</v>
      </c>
      <c r="S22" s="172">
        <v>0</v>
      </c>
    </row>
    <row r="23" spans="1:19" ht="15" hidden="1" customHeight="1">
      <c r="A23" s="224"/>
      <c r="B23" s="225"/>
      <c r="C23" s="226"/>
      <c r="D23" s="225"/>
      <c r="E23" s="1000"/>
      <c r="F23" s="339"/>
      <c r="G23" s="252"/>
      <c r="H23" s="240"/>
      <c r="I23" s="999"/>
      <c r="J23" s="240"/>
      <c r="K23" s="242"/>
      <c r="L23" s="240"/>
      <c r="M23" s="240"/>
      <c r="N23" s="244"/>
      <c r="O23" s="251"/>
      <c r="P23" s="263"/>
      <c r="Q23" s="1004"/>
      <c r="R23" s="263"/>
      <c r="S23" s="264"/>
    </row>
    <row r="24" spans="1:19" ht="15" customHeight="1">
      <c r="A24" s="204"/>
      <c r="B24" s="222"/>
      <c r="C24" s="223"/>
      <c r="D24" s="266" t="s">
        <v>619</v>
      </c>
      <c r="E24" s="217"/>
      <c r="F24" s="217"/>
      <c r="G24" s="216"/>
      <c r="H24" s="217"/>
      <c r="I24" s="217"/>
      <c r="J24" s="217"/>
      <c r="K24" s="217"/>
      <c r="L24" s="217"/>
      <c r="M24" s="217"/>
      <c r="N24" s="219"/>
      <c r="O24" s="217"/>
      <c r="P24" s="935">
        <f>P25</f>
        <v>331348000</v>
      </c>
      <c r="Q24" s="220">
        <f>Q25</f>
        <v>221550000</v>
      </c>
      <c r="R24" s="220">
        <f>+P24-Q24</f>
        <v>109798000</v>
      </c>
      <c r="S24" s="221">
        <f>+R24/Q24</f>
        <v>0.49559016023470998</v>
      </c>
    </row>
    <row r="25" spans="1:19" ht="15" customHeight="1">
      <c r="A25" s="224"/>
      <c r="B25" s="225"/>
      <c r="C25" s="226"/>
      <c r="D25" s="267"/>
      <c r="E25" s="255" t="s">
        <v>797</v>
      </c>
      <c r="F25" s="66"/>
      <c r="G25" s="228"/>
      <c r="H25" s="66"/>
      <c r="I25" s="66"/>
      <c r="J25" s="66"/>
      <c r="K25" s="66"/>
      <c r="L25" s="66"/>
      <c r="M25" s="66"/>
      <c r="N25" s="230"/>
      <c r="O25" s="66"/>
      <c r="P25" s="171">
        <f>ROUNDUP(O26,-3)</f>
        <v>331348000</v>
      </c>
      <c r="Q25" s="171">
        <v>221550000</v>
      </c>
      <c r="R25" s="171">
        <f>+P25-Q25</f>
        <v>109798000</v>
      </c>
      <c r="S25" s="172">
        <f t="shared" ref="S25" si="3">+R25/Q25</f>
        <v>0.49559016023470998</v>
      </c>
    </row>
    <row r="26" spans="1:19" ht="15" customHeight="1">
      <c r="A26" s="224"/>
      <c r="B26" s="225"/>
      <c r="C26" s="226"/>
      <c r="D26" s="225"/>
      <c r="E26" s="1000"/>
      <c r="F26" s="969" t="s">
        <v>621</v>
      </c>
      <c r="G26" s="1019"/>
      <c r="H26" s="1020"/>
      <c r="I26" s="1020"/>
      <c r="J26" s="1020"/>
      <c r="K26" s="1020"/>
      <c r="L26" s="1020"/>
      <c r="M26" s="1020"/>
      <c r="N26" s="1021"/>
      <c r="O26" s="1022">
        <f>SUM(O27)</f>
        <v>331348000</v>
      </c>
      <c r="P26" s="263"/>
      <c r="Q26" s="1004"/>
      <c r="R26" s="263"/>
      <c r="S26" s="264"/>
    </row>
    <row r="27" spans="1:19" s="192" customFormat="1" ht="15" customHeight="1">
      <c r="A27" s="204"/>
      <c r="B27" s="278"/>
      <c r="C27" s="279"/>
      <c r="D27" s="278"/>
      <c r="E27" s="1023"/>
      <c r="F27" s="973" t="s">
        <v>2410</v>
      </c>
      <c r="G27" s="1024">
        <v>331348000</v>
      </c>
      <c r="H27" s="184" t="s">
        <v>282</v>
      </c>
      <c r="I27" s="1049">
        <v>1</v>
      </c>
      <c r="J27" s="184"/>
      <c r="K27" s="1025"/>
      <c r="L27" s="184"/>
      <c r="M27" s="184"/>
      <c r="N27" s="186" t="s">
        <v>281</v>
      </c>
      <c r="O27" s="1026">
        <f>G27*I27</f>
        <v>331348000</v>
      </c>
      <c r="P27" s="287"/>
      <c r="Q27" s="1027"/>
      <c r="R27" s="287"/>
      <c r="S27" s="288"/>
    </row>
    <row r="28" spans="1:19" ht="15" customHeight="1">
      <c r="A28" s="224"/>
      <c r="B28" s="266" t="s">
        <v>492</v>
      </c>
      <c r="C28" s="214"/>
      <c r="D28" s="214"/>
      <c r="E28" s="217"/>
      <c r="F28" s="209"/>
      <c r="G28" s="216"/>
      <c r="H28" s="217"/>
      <c r="I28" s="217"/>
      <c r="J28" s="217"/>
      <c r="K28" s="217"/>
      <c r="L28" s="217"/>
      <c r="M28" s="217"/>
      <c r="N28" s="219"/>
      <c r="O28" s="217"/>
      <c r="P28" s="220">
        <f>P29</f>
        <v>14000000</v>
      </c>
      <c r="Q28" s="220">
        <f>Q29</f>
        <v>11721380</v>
      </c>
      <c r="R28" s="220">
        <f>+P28-Q28</f>
        <v>2278620</v>
      </c>
      <c r="S28" s="221">
        <f t="shared" ref="S28" si="4">+R28/Q28</f>
        <v>0.19439861176755638</v>
      </c>
    </row>
    <row r="29" spans="1:19" ht="15" customHeight="1">
      <c r="A29" s="224"/>
      <c r="B29" s="222"/>
      <c r="C29" s="214" t="s">
        <v>623</v>
      </c>
      <c r="D29" s="266"/>
      <c r="E29" s="217"/>
      <c r="F29" s="217"/>
      <c r="G29" s="216"/>
      <c r="H29" s="217"/>
      <c r="I29" s="217"/>
      <c r="J29" s="217"/>
      <c r="K29" s="217"/>
      <c r="L29" s="217"/>
      <c r="M29" s="217"/>
      <c r="N29" s="219"/>
      <c r="O29" s="217"/>
      <c r="P29" s="220">
        <f>P30</f>
        <v>14000000</v>
      </c>
      <c r="Q29" s="220">
        <f>Q30</f>
        <v>11721380</v>
      </c>
      <c r="R29" s="220">
        <f>+P29-Q29</f>
        <v>2278620</v>
      </c>
      <c r="S29" s="221">
        <f>+R29/Q29</f>
        <v>0.19439861176755638</v>
      </c>
    </row>
    <row r="30" spans="1:19" ht="15" customHeight="1">
      <c r="A30" s="224"/>
      <c r="B30" s="222"/>
      <c r="C30" s="1028"/>
      <c r="D30" s="266" t="s">
        <v>624</v>
      </c>
      <c r="E30" s="217"/>
      <c r="F30" s="217"/>
      <c r="G30" s="216"/>
      <c r="H30" s="217"/>
      <c r="I30" s="217"/>
      <c r="J30" s="217"/>
      <c r="K30" s="217"/>
      <c r="L30" s="217"/>
      <c r="M30" s="217"/>
      <c r="N30" s="219"/>
      <c r="O30" s="217"/>
      <c r="P30" s="220">
        <f>SUM(P31)</f>
        <v>14000000</v>
      </c>
      <c r="Q30" s="220">
        <f>SUM(Q31)</f>
        <v>11721380</v>
      </c>
      <c r="R30" s="220">
        <f>+P30-Q30</f>
        <v>2278620</v>
      </c>
      <c r="S30" s="221">
        <f>+R30/Q30</f>
        <v>0.19439861176755638</v>
      </c>
    </row>
    <row r="31" spans="1:19" s="192" customFormat="1" ht="15" customHeight="1">
      <c r="A31" s="224"/>
      <c r="B31" s="225"/>
      <c r="C31" s="1029"/>
      <c r="D31" s="267"/>
      <c r="E31" s="255" t="s">
        <v>625</v>
      </c>
      <c r="F31" s="66"/>
      <c r="G31" s="228"/>
      <c r="H31" s="66"/>
      <c r="I31" s="66"/>
      <c r="J31" s="66"/>
      <c r="K31" s="66"/>
      <c r="L31" s="66"/>
      <c r="M31" s="66"/>
      <c r="N31" s="230"/>
      <c r="O31" s="66"/>
      <c r="P31" s="171">
        <f>O32</f>
        <v>14000000</v>
      </c>
      <c r="Q31" s="171">
        <v>11721380</v>
      </c>
      <c r="R31" s="171">
        <f>+P31-Q31</f>
        <v>2278620</v>
      </c>
      <c r="S31" s="172">
        <f t="shared" ref="S31" si="5">+R31/Q31</f>
        <v>0.19439861176755638</v>
      </c>
    </row>
    <row r="32" spans="1:19" ht="15" customHeight="1">
      <c r="A32" s="224"/>
      <c r="B32" s="225"/>
      <c r="C32" s="226"/>
      <c r="D32" s="225"/>
      <c r="E32" s="240"/>
      <c r="F32" s="240" t="s">
        <v>493</v>
      </c>
      <c r="G32" s="249"/>
      <c r="H32" s="240"/>
      <c r="I32" s="240"/>
      <c r="J32" s="240"/>
      <c r="K32" s="240"/>
      <c r="L32" s="240"/>
      <c r="M32" s="240"/>
      <c r="N32" s="244"/>
      <c r="O32" s="251">
        <f>SUM(O33)</f>
        <v>14000000</v>
      </c>
      <c r="P32" s="235"/>
      <c r="Q32" s="997"/>
      <c r="R32" s="235"/>
      <c r="S32" s="246"/>
    </row>
    <row r="33" spans="1:19" ht="15" customHeight="1" thickBot="1">
      <c r="A33" s="425"/>
      <c r="B33" s="426"/>
      <c r="C33" s="1006"/>
      <c r="D33" s="426"/>
      <c r="E33" s="432"/>
      <c r="F33" s="432" t="s">
        <v>494</v>
      </c>
      <c r="G33" s="433">
        <v>14000000</v>
      </c>
      <c r="H33" s="434" t="s">
        <v>282</v>
      </c>
      <c r="I33" s="435">
        <v>1</v>
      </c>
      <c r="J33" s="434"/>
      <c r="K33" s="436"/>
      <c r="L33" s="434"/>
      <c r="M33" s="434"/>
      <c r="N33" s="437" t="s">
        <v>2437</v>
      </c>
      <c r="O33" s="1030">
        <f>G33*I33</f>
        <v>14000000</v>
      </c>
      <c r="P33" s="1014"/>
      <c r="Q33" s="1015"/>
      <c r="R33" s="1014"/>
      <c r="S33" s="1016"/>
    </row>
    <row r="34" spans="1:19" ht="12" customHeight="1"/>
    <row r="35" spans="1:19" ht="12" customHeight="1"/>
    <row r="36" spans="1:19" ht="12" customHeight="1">
      <c r="O36" s="1031"/>
    </row>
    <row r="37" spans="1:19" ht="12" customHeight="1"/>
    <row r="38" spans="1:19" ht="12" customHeight="1"/>
    <row r="39" spans="1:19" ht="12" customHeight="1"/>
    <row r="40" spans="1:19" ht="12" customHeight="1"/>
    <row r="41" spans="1:19" ht="12" customHeight="1"/>
    <row r="42" spans="1:19" ht="12" customHeight="1"/>
    <row r="43" spans="1:19" ht="12" customHeight="1"/>
    <row r="44" spans="1:19" ht="12" customHeight="1"/>
    <row r="45" spans="1:19" ht="12" customHeight="1"/>
    <row r="46" spans="1:19" ht="12" customHeight="1"/>
    <row r="47" spans="1:19" ht="12" customHeight="1"/>
    <row r="48" spans="1:19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</sheetData>
  <mergeCells count="8">
    <mergeCell ref="A1:S1"/>
    <mergeCell ref="R2:S2"/>
    <mergeCell ref="A3:E3"/>
    <mergeCell ref="G3:O4"/>
    <mergeCell ref="P3:P4"/>
    <mergeCell ref="Q3:Q4"/>
    <mergeCell ref="R3:R4"/>
    <mergeCell ref="S3:S4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scale="85" firstPageNumber="28" fitToHeight="0" orientation="landscape" useFirstPageNumber="1" horizontalDpi="4294967293" r:id="rId1"/>
  <headerFooter scaleWithDoc="0" alignWithMargins="0">
    <oddFooter>&amp;C&amp;P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99FF"/>
    <pageSetUpPr fitToPage="1"/>
  </sheetPr>
  <dimension ref="A1:U118"/>
  <sheetViews>
    <sheetView view="pageBreakPreview" zoomScaleNormal="85" zoomScaleSheetLayoutView="100" workbookViewId="0">
      <pane xSplit="3" ySplit="7" topLeftCell="D17" activePane="bottomRight" state="frozen"/>
      <selection activeCell="V20" sqref="V20"/>
      <selection pane="topRight" activeCell="V20" sqref="V20"/>
      <selection pane="bottomLeft" activeCell="V20" sqref="V20"/>
      <selection pane="bottomRight" activeCell="V20" sqref="V20"/>
    </sheetView>
  </sheetViews>
  <sheetFormatPr defaultColWidth="9" defaultRowHeight="13.5"/>
  <cols>
    <col min="1" max="1" width="3.625" style="196" customWidth="1"/>
    <col min="2" max="4" width="3.625" style="193" customWidth="1"/>
    <col min="5" max="5" width="10.625" style="196" customWidth="1"/>
    <col min="6" max="6" width="20.625" style="196" customWidth="1"/>
    <col min="7" max="7" width="12.75" style="195" bestFit="1" customWidth="1"/>
    <col min="8" max="8" width="2.125" style="196" customWidth="1"/>
    <col min="9" max="9" width="5.875" style="196" bestFit="1" customWidth="1"/>
    <col min="10" max="10" width="2.125" style="196" customWidth="1"/>
    <col min="11" max="11" width="4.875" style="196" bestFit="1" customWidth="1"/>
    <col min="12" max="12" width="2.75" style="196" customWidth="1"/>
    <col min="13" max="13" width="4.875" style="196" bestFit="1" customWidth="1"/>
    <col min="14" max="14" width="2.625" style="198" customWidth="1"/>
    <col min="15" max="15" width="12.625" style="196" customWidth="1"/>
    <col min="16" max="16" width="10.625" style="199" customWidth="1"/>
    <col min="17" max="18" width="10.625" style="200" customWidth="1"/>
    <col min="19" max="19" width="10.625" style="289" customWidth="1"/>
    <col min="20" max="20" width="9" style="196"/>
    <col min="21" max="21" width="12.75" style="196" bestFit="1" customWidth="1"/>
    <col min="22" max="16384" width="9" style="196"/>
  </cols>
  <sheetData>
    <row r="1" spans="1:21" s="192" customFormat="1" ht="35.1" customHeight="1">
      <c r="A1" s="1968" t="s">
        <v>1649</v>
      </c>
      <c r="B1" s="1968"/>
      <c r="C1" s="1968"/>
      <c r="D1" s="1968"/>
      <c r="E1" s="1968"/>
      <c r="F1" s="1968"/>
      <c r="G1" s="1968"/>
      <c r="H1" s="1968"/>
      <c r="I1" s="1968"/>
      <c r="J1" s="1968"/>
      <c r="K1" s="1968"/>
      <c r="L1" s="1968"/>
      <c r="M1" s="1968"/>
      <c r="N1" s="1968"/>
      <c r="O1" s="1968"/>
      <c r="P1" s="1968"/>
      <c r="Q1" s="1968"/>
      <c r="R1" s="1968"/>
      <c r="S1" s="1968"/>
    </row>
    <row r="2" spans="1:21" ht="15" customHeight="1" thickBot="1">
      <c r="A2" s="192" t="s">
        <v>1650</v>
      </c>
      <c r="R2" s="1969" t="s">
        <v>1651</v>
      </c>
      <c r="S2" s="1969"/>
    </row>
    <row r="3" spans="1:21" s="201" customFormat="1" ht="14.65" customHeight="1">
      <c r="A3" s="1954" t="s">
        <v>475</v>
      </c>
      <c r="B3" s="1955"/>
      <c r="C3" s="1955"/>
      <c r="D3" s="1955"/>
      <c r="E3" s="1955"/>
      <c r="F3" s="1745"/>
      <c r="G3" s="1956" t="s">
        <v>295</v>
      </c>
      <c r="H3" s="1956"/>
      <c r="I3" s="1956"/>
      <c r="J3" s="1956"/>
      <c r="K3" s="1956"/>
      <c r="L3" s="1956"/>
      <c r="M3" s="1956"/>
      <c r="N3" s="1956"/>
      <c r="O3" s="1957"/>
      <c r="P3" s="1960" t="s">
        <v>296</v>
      </c>
      <c r="Q3" s="1962" t="s">
        <v>94</v>
      </c>
      <c r="R3" s="1964" t="s">
        <v>297</v>
      </c>
      <c r="S3" s="1966" t="s">
        <v>298</v>
      </c>
    </row>
    <row r="4" spans="1:21" s="201" customFormat="1" ht="14.65" customHeight="1" thickBot="1">
      <c r="A4" s="1746" t="s">
        <v>299</v>
      </c>
      <c r="B4" s="1747" t="s">
        <v>300</v>
      </c>
      <c r="C4" s="1747" t="s">
        <v>301</v>
      </c>
      <c r="D4" s="1747" t="s">
        <v>359</v>
      </c>
      <c r="E4" s="1747" t="s">
        <v>302</v>
      </c>
      <c r="F4" s="1748" t="s">
        <v>479</v>
      </c>
      <c r="G4" s="1958"/>
      <c r="H4" s="1958"/>
      <c r="I4" s="1958"/>
      <c r="J4" s="1958"/>
      <c r="K4" s="1958"/>
      <c r="L4" s="1958"/>
      <c r="M4" s="1958"/>
      <c r="N4" s="1958"/>
      <c r="O4" s="1959"/>
      <c r="P4" s="1961"/>
      <c r="Q4" s="1963"/>
      <c r="R4" s="1965"/>
      <c r="S4" s="1967"/>
    </row>
    <row r="5" spans="1:21" s="192" customFormat="1" ht="14.65" customHeight="1" thickBot="1">
      <c r="A5" s="923" t="s">
        <v>2613</v>
      </c>
      <c r="B5" s="924"/>
      <c r="C5" s="72"/>
      <c r="D5" s="72"/>
      <c r="E5" s="72"/>
      <c r="F5" s="72"/>
      <c r="G5" s="71"/>
      <c r="H5" s="72"/>
      <c r="I5" s="72"/>
      <c r="J5" s="72"/>
      <c r="K5" s="72"/>
      <c r="L5" s="72"/>
      <c r="M5" s="72"/>
      <c r="N5" s="74"/>
      <c r="O5" s="72"/>
      <c r="P5" s="75">
        <f>P6+P40</f>
        <v>343038000</v>
      </c>
      <c r="Q5" s="75">
        <f>Q6+Q40</f>
        <v>261170000</v>
      </c>
      <c r="R5" s="925">
        <f>+P5-Q5</f>
        <v>81868000</v>
      </c>
      <c r="S5" s="203">
        <f>+R5/Q5</f>
        <v>0.31346632461615043</v>
      </c>
    </row>
    <row r="6" spans="1:21" s="192" customFormat="1" ht="14.65" customHeight="1">
      <c r="A6" s="204"/>
      <c r="B6" s="205" t="s">
        <v>1652</v>
      </c>
      <c r="C6" s="206"/>
      <c r="D6" s="206"/>
      <c r="E6" s="209"/>
      <c r="F6" s="209"/>
      <c r="G6" s="208"/>
      <c r="H6" s="209"/>
      <c r="I6" s="209"/>
      <c r="J6" s="209"/>
      <c r="K6" s="209"/>
      <c r="L6" s="209"/>
      <c r="M6" s="209"/>
      <c r="N6" s="210"/>
      <c r="O6" s="209"/>
      <c r="P6" s="211">
        <f>SUM(P7,P27)</f>
        <v>325038000</v>
      </c>
      <c r="Q6" s="211">
        <f>SUM(Q7,Q27)</f>
        <v>246170000</v>
      </c>
      <c r="R6" s="211">
        <f>+P6-Q6</f>
        <v>78868000</v>
      </c>
      <c r="S6" s="212">
        <f>+R6/Q6</f>
        <v>0.32038022504773123</v>
      </c>
    </row>
    <row r="7" spans="1:21" s="192" customFormat="1" ht="14.65" customHeight="1">
      <c r="A7" s="204"/>
      <c r="B7" s="213"/>
      <c r="C7" s="214" t="s">
        <v>1653</v>
      </c>
      <c r="D7" s="214"/>
      <c r="E7" s="217"/>
      <c r="F7" s="217"/>
      <c r="G7" s="216"/>
      <c r="H7" s="217"/>
      <c r="I7" s="217"/>
      <c r="J7" s="217"/>
      <c r="K7" s="217"/>
      <c r="L7" s="217"/>
      <c r="M7" s="217"/>
      <c r="N7" s="219"/>
      <c r="O7" s="217"/>
      <c r="P7" s="220">
        <f>SUM(P8,P21)</f>
        <v>108850000</v>
      </c>
      <c r="Q7" s="220">
        <f>SUM(Q8,Q21)</f>
        <v>93820000</v>
      </c>
      <c r="R7" s="220">
        <f>+P7-Q7</f>
        <v>15030000</v>
      </c>
      <c r="S7" s="221">
        <f>+R7/Q7</f>
        <v>0.16020038371349393</v>
      </c>
    </row>
    <row r="8" spans="1:21" s="192" customFormat="1" ht="14.65" customHeight="1">
      <c r="A8" s="204"/>
      <c r="B8" s="222"/>
      <c r="C8" s="223"/>
      <c r="D8" s="266" t="s">
        <v>1654</v>
      </c>
      <c r="E8" s="217"/>
      <c r="F8" s="217"/>
      <c r="G8" s="216"/>
      <c r="H8" s="217"/>
      <c r="I8" s="217"/>
      <c r="J8" s="217"/>
      <c r="K8" s="217"/>
      <c r="L8" s="217"/>
      <c r="M8" s="217"/>
      <c r="N8" s="219"/>
      <c r="O8" s="217"/>
      <c r="P8" s="220">
        <f>SUM(P9,P16)</f>
        <v>107650000</v>
      </c>
      <c r="Q8" s="220">
        <f>SUM(Q9,Q16)</f>
        <v>90220000</v>
      </c>
      <c r="R8" s="220">
        <f>+P8-Q8</f>
        <v>17430000</v>
      </c>
      <c r="S8" s="221">
        <f>+R8/Q8</f>
        <v>0.19319441365550877</v>
      </c>
    </row>
    <row r="9" spans="1:21" ht="14.65" customHeight="1">
      <c r="A9" s="224"/>
      <c r="B9" s="225"/>
      <c r="C9" s="226"/>
      <c r="D9" s="267"/>
      <c r="E9" s="66" t="s">
        <v>1655</v>
      </c>
      <c r="F9" s="66"/>
      <c r="G9" s="228"/>
      <c r="H9" s="66"/>
      <c r="I9" s="66"/>
      <c r="J9" s="66"/>
      <c r="K9" s="66"/>
      <c r="L9" s="66"/>
      <c r="M9" s="66"/>
      <c r="N9" s="230"/>
      <c r="O9" s="66"/>
      <c r="P9" s="171">
        <f>O10</f>
        <v>100400000</v>
      </c>
      <c r="Q9" s="171">
        <v>59220000</v>
      </c>
      <c r="R9" s="171">
        <f>+P9-Q9</f>
        <v>41180000</v>
      </c>
      <c r="S9" s="172">
        <f t="shared" ref="S9" si="0">+R9/Q9</f>
        <v>0.69537318473488685</v>
      </c>
    </row>
    <row r="10" spans="1:21" ht="14.65" customHeight="1">
      <c r="A10" s="224"/>
      <c r="B10" s="225"/>
      <c r="C10" s="226"/>
      <c r="D10" s="225"/>
      <c r="E10" s="240"/>
      <c r="F10" s="240" t="s">
        <v>1656</v>
      </c>
      <c r="G10" s="249"/>
      <c r="H10" s="240"/>
      <c r="I10" s="240"/>
      <c r="J10" s="240"/>
      <c r="K10" s="240"/>
      <c r="L10" s="240"/>
      <c r="M10" s="240"/>
      <c r="N10" s="244"/>
      <c r="O10" s="1032">
        <f>SUM(O11:O15)</f>
        <v>100400000</v>
      </c>
      <c r="P10" s="235"/>
      <c r="Q10" s="997"/>
      <c r="R10" s="235"/>
      <c r="S10" s="246"/>
    </row>
    <row r="11" spans="1:21" ht="14.65" customHeight="1">
      <c r="A11" s="224"/>
      <c r="B11" s="225"/>
      <c r="C11" s="226"/>
      <c r="D11" s="225"/>
      <c r="E11" s="240"/>
      <c r="F11" s="998" t="s">
        <v>1657</v>
      </c>
      <c r="G11" s="252">
        <v>40000</v>
      </c>
      <c r="H11" s="240" t="s">
        <v>1658</v>
      </c>
      <c r="I11" s="241">
        <v>46</v>
      </c>
      <c r="J11" s="240" t="s">
        <v>1658</v>
      </c>
      <c r="K11" s="242">
        <v>12</v>
      </c>
      <c r="L11" s="240"/>
      <c r="M11" s="1033"/>
      <c r="N11" s="244" t="s">
        <v>1659</v>
      </c>
      <c r="O11" s="245">
        <f t="shared" ref="O11:O15" si="1">G11*I11*K11</f>
        <v>22080000</v>
      </c>
      <c r="P11" s="235"/>
      <c r="Q11" s="997"/>
      <c r="R11" s="235"/>
      <c r="S11" s="246"/>
      <c r="U11" s="275"/>
    </row>
    <row r="12" spans="1:21" ht="14.65" customHeight="1">
      <c r="A12" s="224"/>
      <c r="B12" s="225"/>
      <c r="C12" s="226"/>
      <c r="D12" s="225"/>
      <c r="E12" s="240"/>
      <c r="F12" s="998" t="s">
        <v>1660</v>
      </c>
      <c r="G12" s="252">
        <v>40000</v>
      </c>
      <c r="H12" s="240" t="s">
        <v>1658</v>
      </c>
      <c r="I12" s="241">
        <v>32</v>
      </c>
      <c r="J12" s="240" t="s">
        <v>1658</v>
      </c>
      <c r="K12" s="242">
        <v>12</v>
      </c>
      <c r="L12" s="240"/>
      <c r="M12" s="1033"/>
      <c r="N12" s="244" t="s">
        <v>1659</v>
      </c>
      <c r="O12" s="245">
        <f t="shared" si="1"/>
        <v>15360000</v>
      </c>
      <c r="P12" s="235"/>
      <c r="Q12" s="997"/>
      <c r="R12" s="235"/>
      <c r="S12" s="246"/>
      <c r="U12" s="275"/>
    </row>
    <row r="13" spans="1:21" ht="14.65" customHeight="1">
      <c r="A13" s="224"/>
      <c r="B13" s="225"/>
      <c r="C13" s="226"/>
      <c r="D13" s="225"/>
      <c r="E13" s="240"/>
      <c r="F13" s="998" t="s">
        <v>1661</v>
      </c>
      <c r="G13" s="252">
        <v>40000</v>
      </c>
      <c r="H13" s="240" t="s">
        <v>1658</v>
      </c>
      <c r="I13" s="241">
        <v>21</v>
      </c>
      <c r="J13" s="240" t="s">
        <v>1658</v>
      </c>
      <c r="K13" s="242">
        <v>12</v>
      </c>
      <c r="L13" s="240"/>
      <c r="M13" s="1033"/>
      <c r="N13" s="244" t="s">
        <v>1659</v>
      </c>
      <c r="O13" s="245">
        <f t="shared" si="1"/>
        <v>10080000</v>
      </c>
      <c r="P13" s="235"/>
      <c r="Q13" s="997"/>
      <c r="R13" s="235"/>
      <c r="S13" s="246"/>
    </row>
    <row r="14" spans="1:21" ht="14.65" customHeight="1">
      <c r="A14" s="224"/>
      <c r="B14" s="225"/>
      <c r="C14" s="226"/>
      <c r="D14" s="225"/>
      <c r="E14" s="240"/>
      <c r="F14" s="998" t="s">
        <v>1662</v>
      </c>
      <c r="G14" s="252">
        <v>40000</v>
      </c>
      <c r="H14" s="240" t="s">
        <v>1658</v>
      </c>
      <c r="I14" s="241">
        <v>31</v>
      </c>
      <c r="J14" s="240" t="s">
        <v>1658</v>
      </c>
      <c r="K14" s="242">
        <v>2</v>
      </c>
      <c r="L14" s="240"/>
      <c r="M14" s="1033"/>
      <c r="N14" s="244" t="s">
        <v>347</v>
      </c>
      <c r="O14" s="245">
        <f t="shared" si="1"/>
        <v>2480000</v>
      </c>
      <c r="P14" s="235"/>
      <c r="Q14" s="997"/>
      <c r="R14" s="235"/>
      <c r="S14" s="246"/>
    </row>
    <row r="15" spans="1:21" ht="14.65" customHeight="1">
      <c r="A15" s="224"/>
      <c r="B15" s="225"/>
      <c r="C15" s="226"/>
      <c r="D15" s="225"/>
      <c r="E15" s="240"/>
      <c r="F15" s="998" t="s">
        <v>1663</v>
      </c>
      <c r="G15" s="252">
        <v>40000</v>
      </c>
      <c r="H15" s="240" t="s">
        <v>1658</v>
      </c>
      <c r="I15" s="241">
        <v>105</v>
      </c>
      <c r="J15" s="240" t="s">
        <v>1658</v>
      </c>
      <c r="K15" s="242">
        <v>12</v>
      </c>
      <c r="L15" s="240"/>
      <c r="M15" s="1033"/>
      <c r="N15" s="244" t="s">
        <v>1659</v>
      </c>
      <c r="O15" s="245">
        <f t="shared" si="1"/>
        <v>50400000</v>
      </c>
      <c r="P15" s="235"/>
      <c r="Q15" s="997"/>
      <c r="R15" s="235"/>
      <c r="S15" s="246"/>
    </row>
    <row r="16" spans="1:21" ht="14.65" customHeight="1">
      <c r="A16" s="224"/>
      <c r="B16" s="225"/>
      <c r="C16" s="226"/>
      <c r="D16" s="225"/>
      <c r="E16" s="66" t="s">
        <v>1664</v>
      </c>
      <c r="F16" s="66"/>
      <c r="G16" s="228"/>
      <c r="H16" s="66"/>
      <c r="I16" s="66"/>
      <c r="J16" s="66"/>
      <c r="K16" s="66"/>
      <c r="L16" s="66"/>
      <c r="M16" s="66"/>
      <c r="N16" s="230"/>
      <c r="O16" s="66"/>
      <c r="P16" s="171">
        <f>SUM(O18:O20)</f>
        <v>7250000</v>
      </c>
      <c r="Q16" s="171">
        <v>31000000</v>
      </c>
      <c r="R16" s="171">
        <f>+P16-Q16</f>
        <v>-23750000</v>
      </c>
      <c r="S16" s="172">
        <f t="shared" ref="S16" si="2">+R16/Q16</f>
        <v>-0.7661290322580645</v>
      </c>
    </row>
    <row r="17" spans="1:21" ht="14.65" customHeight="1">
      <c r="A17" s="224"/>
      <c r="B17" s="225"/>
      <c r="C17" s="226"/>
      <c r="D17" s="225"/>
      <c r="E17" s="240"/>
      <c r="F17" s="240" t="s">
        <v>1665</v>
      </c>
      <c r="G17" s="249"/>
      <c r="H17" s="240"/>
      <c r="I17" s="240"/>
      <c r="J17" s="240"/>
      <c r="K17" s="240"/>
      <c r="L17" s="240"/>
      <c r="M17" s="240"/>
      <c r="N17" s="244"/>
      <c r="O17" s="1032">
        <f>SUM(O18:O20)</f>
        <v>7250000</v>
      </c>
      <c r="P17" s="235"/>
      <c r="Q17" s="997"/>
      <c r="R17" s="235"/>
      <c r="S17" s="246"/>
      <c r="U17" s="275"/>
    </row>
    <row r="18" spans="1:21" ht="14.65" customHeight="1">
      <c r="A18" s="224"/>
      <c r="B18" s="225"/>
      <c r="C18" s="226"/>
      <c r="D18" s="225"/>
      <c r="E18" s="240"/>
      <c r="F18" s="240" t="s">
        <v>1666</v>
      </c>
      <c r="G18" s="249">
        <v>3750</v>
      </c>
      <c r="H18" s="240" t="s">
        <v>109</v>
      </c>
      <c r="I18" s="241">
        <v>20</v>
      </c>
      <c r="J18" s="240" t="s">
        <v>109</v>
      </c>
      <c r="K18" s="256">
        <v>12</v>
      </c>
      <c r="L18" s="240"/>
      <c r="M18" s="1033"/>
      <c r="N18" s="244" t="s">
        <v>1667</v>
      </c>
      <c r="O18" s="245">
        <f t="shared" ref="O18:O20" si="3">G18*I18*K18</f>
        <v>900000</v>
      </c>
      <c r="P18" s="235"/>
      <c r="Q18" s="997"/>
      <c r="R18" s="235"/>
      <c r="S18" s="246"/>
    </row>
    <row r="19" spans="1:21" ht="14.65" customHeight="1">
      <c r="A19" s="224"/>
      <c r="B19" s="225"/>
      <c r="C19" s="226"/>
      <c r="D19" s="225"/>
      <c r="E19" s="240"/>
      <c r="F19" s="240" t="s">
        <v>926</v>
      </c>
      <c r="G19" s="249">
        <v>50000</v>
      </c>
      <c r="H19" s="240" t="s">
        <v>109</v>
      </c>
      <c r="I19" s="241">
        <v>25</v>
      </c>
      <c r="J19" s="240" t="s">
        <v>109</v>
      </c>
      <c r="K19" s="256">
        <v>1</v>
      </c>
      <c r="L19" s="240"/>
      <c r="M19" s="1033"/>
      <c r="N19" s="244" t="s">
        <v>1659</v>
      </c>
      <c r="O19" s="245">
        <f t="shared" si="3"/>
        <v>1250000</v>
      </c>
      <c r="P19" s="235"/>
      <c r="Q19" s="997"/>
      <c r="R19" s="235"/>
      <c r="S19" s="246"/>
    </row>
    <row r="20" spans="1:21" ht="14.65" customHeight="1">
      <c r="A20" s="224"/>
      <c r="B20" s="225"/>
      <c r="C20" s="226"/>
      <c r="D20" s="225"/>
      <c r="E20" s="240"/>
      <c r="F20" s="240" t="s">
        <v>1668</v>
      </c>
      <c r="G20" s="249">
        <v>340000</v>
      </c>
      <c r="H20" s="240" t="s">
        <v>109</v>
      </c>
      <c r="I20" s="241">
        <v>15</v>
      </c>
      <c r="J20" s="240" t="s">
        <v>109</v>
      </c>
      <c r="K20" s="256">
        <v>1</v>
      </c>
      <c r="L20" s="240"/>
      <c r="M20" s="1033"/>
      <c r="N20" s="244" t="s">
        <v>1659</v>
      </c>
      <c r="O20" s="245">
        <f t="shared" si="3"/>
        <v>5100000</v>
      </c>
      <c r="P20" s="235"/>
      <c r="Q20" s="997"/>
      <c r="R20" s="235"/>
      <c r="S20" s="246"/>
    </row>
    <row r="21" spans="1:21" s="192" customFormat="1" ht="14.65" customHeight="1">
      <c r="A21" s="204"/>
      <c r="B21" s="222"/>
      <c r="C21" s="223"/>
      <c r="D21" s="266" t="s">
        <v>1669</v>
      </c>
      <c r="E21" s="217"/>
      <c r="F21" s="217"/>
      <c r="G21" s="216"/>
      <c r="H21" s="217"/>
      <c r="I21" s="217"/>
      <c r="J21" s="217"/>
      <c r="K21" s="217"/>
      <c r="L21" s="217"/>
      <c r="M21" s="217"/>
      <c r="N21" s="219"/>
      <c r="O21" s="217"/>
      <c r="P21" s="220">
        <f>SUM(P22)</f>
        <v>1200000</v>
      </c>
      <c r="Q21" s="220">
        <f>SUM(Q22,Q26)</f>
        <v>3600000</v>
      </c>
      <c r="R21" s="220">
        <f>+P21-Q21</f>
        <v>-2400000</v>
      </c>
      <c r="S21" s="221">
        <f>+R21/Q21</f>
        <v>-0.66666666666666663</v>
      </c>
    </row>
    <row r="22" spans="1:21" ht="14.65" customHeight="1">
      <c r="A22" s="224"/>
      <c r="B22" s="225"/>
      <c r="C22" s="226"/>
      <c r="D22" s="267"/>
      <c r="E22" s="66" t="s">
        <v>1670</v>
      </c>
      <c r="F22" s="66"/>
      <c r="G22" s="228"/>
      <c r="H22" s="66"/>
      <c r="I22" s="66"/>
      <c r="J22" s="66"/>
      <c r="K22" s="66"/>
      <c r="L22" s="66"/>
      <c r="M22" s="66"/>
      <c r="N22" s="230"/>
      <c r="O22" s="66"/>
      <c r="P22" s="171">
        <f>O23</f>
        <v>1200000</v>
      </c>
      <c r="Q22" s="171">
        <v>2400000</v>
      </c>
      <c r="R22" s="171">
        <f>+P22-Q22</f>
        <v>-1200000</v>
      </c>
      <c r="S22" s="172">
        <f t="shared" ref="S22" si="4">+R22/Q22</f>
        <v>-0.5</v>
      </c>
      <c r="U22" s="275"/>
    </row>
    <row r="23" spans="1:21" ht="14.65" customHeight="1">
      <c r="A23" s="224"/>
      <c r="B23" s="225"/>
      <c r="C23" s="226"/>
      <c r="D23" s="225"/>
      <c r="E23" s="240"/>
      <c r="F23" s="240" t="s">
        <v>1671</v>
      </c>
      <c r="G23" s="249"/>
      <c r="H23" s="240"/>
      <c r="I23" s="240"/>
      <c r="J23" s="240"/>
      <c r="K23" s="240"/>
      <c r="L23" s="240"/>
      <c r="M23" s="240"/>
      <c r="N23" s="244"/>
      <c r="O23" s="251">
        <f>SUM(O24:O25)</f>
        <v>1200000</v>
      </c>
      <c r="P23" s="235"/>
      <c r="Q23" s="997"/>
      <c r="R23" s="235"/>
      <c r="S23" s="246"/>
      <c r="U23" s="275"/>
    </row>
    <row r="24" spans="1:21" ht="14.65" customHeight="1">
      <c r="A24" s="224"/>
      <c r="B24" s="225"/>
      <c r="C24" s="226"/>
      <c r="D24" s="225"/>
      <c r="E24" s="240"/>
      <c r="F24" s="998" t="s">
        <v>342</v>
      </c>
      <c r="G24" s="252">
        <v>20000</v>
      </c>
      <c r="H24" s="240" t="s">
        <v>109</v>
      </c>
      <c r="I24" s="256">
        <v>4</v>
      </c>
      <c r="J24" s="240" t="s">
        <v>109</v>
      </c>
      <c r="K24" s="242">
        <v>12</v>
      </c>
      <c r="L24" s="240"/>
      <c r="M24" s="240"/>
      <c r="N24" s="244" t="s">
        <v>110</v>
      </c>
      <c r="O24" s="245">
        <f>G24*I24*K24</f>
        <v>960000</v>
      </c>
      <c r="P24" s="235"/>
      <c r="Q24" s="997"/>
      <c r="R24" s="235"/>
      <c r="S24" s="246"/>
    </row>
    <row r="25" spans="1:21" ht="14.65" customHeight="1">
      <c r="A25" s="224"/>
      <c r="B25" s="225"/>
      <c r="C25" s="226"/>
      <c r="D25" s="225"/>
      <c r="E25" s="998"/>
      <c r="F25" s="998" t="s">
        <v>1672</v>
      </c>
      <c r="G25" s="252">
        <v>1000</v>
      </c>
      <c r="H25" s="240" t="s">
        <v>109</v>
      </c>
      <c r="I25" s="256">
        <v>20</v>
      </c>
      <c r="J25" s="240" t="s">
        <v>109</v>
      </c>
      <c r="K25" s="242">
        <v>12</v>
      </c>
      <c r="L25" s="240"/>
      <c r="M25" s="240"/>
      <c r="N25" s="244" t="s">
        <v>110</v>
      </c>
      <c r="O25" s="245">
        <f>G25*I25*K25</f>
        <v>240000</v>
      </c>
      <c r="P25" s="235"/>
      <c r="Q25" s="997"/>
      <c r="R25" s="235"/>
      <c r="S25" s="246"/>
    </row>
    <row r="26" spans="1:21" ht="14.65" customHeight="1">
      <c r="A26" s="224"/>
      <c r="B26" s="225"/>
      <c r="C26" s="226"/>
      <c r="D26" s="225"/>
      <c r="E26" s="66" t="s">
        <v>1673</v>
      </c>
      <c r="F26" s="66"/>
      <c r="G26" s="228"/>
      <c r="H26" s="66"/>
      <c r="I26" s="66"/>
      <c r="J26" s="66"/>
      <c r="K26" s="66"/>
      <c r="L26" s="66"/>
      <c r="M26" s="66"/>
      <c r="N26" s="230"/>
      <c r="O26" s="66"/>
      <c r="P26" s="171">
        <f>O27</f>
        <v>0</v>
      </c>
      <c r="Q26" s="171">
        <v>1200000</v>
      </c>
      <c r="R26" s="171">
        <f>+P26-Q26</f>
        <v>-1200000</v>
      </c>
      <c r="S26" s="172">
        <f t="shared" ref="S26" si="5">+R26/Q26</f>
        <v>-1</v>
      </c>
    </row>
    <row r="27" spans="1:21" s="192" customFormat="1" ht="14.65" customHeight="1">
      <c r="A27" s="204"/>
      <c r="B27" s="222"/>
      <c r="C27" s="214" t="s">
        <v>927</v>
      </c>
      <c r="D27" s="266"/>
      <c r="E27" s="217"/>
      <c r="F27" s="217"/>
      <c r="G27" s="216"/>
      <c r="H27" s="217"/>
      <c r="I27" s="217"/>
      <c r="J27" s="217"/>
      <c r="K27" s="217"/>
      <c r="L27" s="217"/>
      <c r="M27" s="217"/>
      <c r="N27" s="219"/>
      <c r="O27" s="217"/>
      <c r="P27" s="220">
        <f>SUM(P28,P32,P36)</f>
        <v>216188000</v>
      </c>
      <c r="Q27" s="220">
        <f>SUM(Q28,Q32,Q36)</f>
        <v>152350000</v>
      </c>
      <c r="R27" s="220">
        <f>+P27-Q27</f>
        <v>63838000</v>
      </c>
      <c r="S27" s="221">
        <f>+R27/Q27</f>
        <v>0.41902198884148345</v>
      </c>
      <c r="U27" s="1034"/>
    </row>
    <row r="28" spans="1:21" s="192" customFormat="1" ht="14.65" customHeight="1">
      <c r="A28" s="204"/>
      <c r="B28" s="222"/>
      <c r="C28" s="223"/>
      <c r="D28" s="266" t="s">
        <v>1674</v>
      </c>
      <c r="E28" s="217"/>
      <c r="F28" s="217"/>
      <c r="G28" s="216"/>
      <c r="H28" s="217"/>
      <c r="I28" s="217"/>
      <c r="J28" s="217"/>
      <c r="K28" s="217"/>
      <c r="L28" s="217"/>
      <c r="M28" s="217"/>
      <c r="N28" s="219"/>
      <c r="O28" s="217"/>
      <c r="P28" s="220">
        <f>P29</f>
        <v>100000</v>
      </c>
      <c r="Q28" s="220">
        <f>Q29</f>
        <v>100000</v>
      </c>
      <c r="R28" s="220">
        <f>+P28-Q28</f>
        <v>0</v>
      </c>
      <c r="S28" s="221">
        <f>+R28/Q28</f>
        <v>0</v>
      </c>
    </row>
    <row r="29" spans="1:21" ht="14.65" customHeight="1">
      <c r="A29" s="224"/>
      <c r="B29" s="225"/>
      <c r="C29" s="226"/>
      <c r="D29" s="267"/>
      <c r="E29" s="255" t="s">
        <v>1675</v>
      </c>
      <c r="F29" s="66"/>
      <c r="G29" s="228"/>
      <c r="H29" s="66"/>
      <c r="I29" s="66"/>
      <c r="J29" s="66"/>
      <c r="K29" s="66"/>
      <c r="L29" s="66"/>
      <c r="M29" s="66"/>
      <c r="N29" s="230"/>
      <c r="O29" s="66"/>
      <c r="P29" s="171">
        <f>O30</f>
        <v>100000</v>
      </c>
      <c r="Q29" s="171">
        <v>100000</v>
      </c>
      <c r="R29" s="171">
        <f>+P29-Q29</f>
        <v>0</v>
      </c>
      <c r="S29" s="172">
        <f t="shared" ref="S29" si="6">+R29/Q29</f>
        <v>0</v>
      </c>
    </row>
    <row r="30" spans="1:21" ht="14.65" customHeight="1">
      <c r="A30" s="224"/>
      <c r="B30" s="225"/>
      <c r="C30" s="226"/>
      <c r="D30" s="225"/>
      <c r="E30" s="240"/>
      <c r="F30" s="240" t="s">
        <v>1676</v>
      </c>
      <c r="G30" s="249"/>
      <c r="H30" s="240"/>
      <c r="I30" s="240"/>
      <c r="J30" s="240"/>
      <c r="K30" s="240"/>
      <c r="L30" s="240"/>
      <c r="M30" s="240"/>
      <c r="N30" s="244"/>
      <c r="O30" s="251">
        <f>SUM(O31:O31)</f>
        <v>100000</v>
      </c>
      <c r="P30" s="235"/>
      <c r="Q30" s="997"/>
      <c r="R30" s="235"/>
      <c r="S30" s="246"/>
    </row>
    <row r="31" spans="1:21" ht="14.65" customHeight="1">
      <c r="A31" s="224"/>
      <c r="B31" s="225"/>
      <c r="C31" s="226"/>
      <c r="D31" s="278"/>
      <c r="E31" s="998"/>
      <c r="F31" s="998" t="s">
        <v>1677</v>
      </c>
      <c r="G31" s="252">
        <v>100000</v>
      </c>
      <c r="H31" s="240" t="s">
        <v>1658</v>
      </c>
      <c r="I31" s="999">
        <v>1</v>
      </c>
      <c r="J31" s="240"/>
      <c r="K31" s="242"/>
      <c r="L31" s="240"/>
      <c r="M31" s="240"/>
      <c r="N31" s="244" t="s">
        <v>1659</v>
      </c>
      <c r="O31" s="245">
        <f>G31*I31</f>
        <v>100000</v>
      </c>
      <c r="P31" s="235"/>
      <c r="Q31" s="997"/>
      <c r="R31" s="235"/>
      <c r="S31" s="246"/>
    </row>
    <row r="32" spans="1:21" s="192" customFormat="1" ht="14.65" customHeight="1">
      <c r="A32" s="204"/>
      <c r="B32" s="222"/>
      <c r="C32" s="223"/>
      <c r="D32" s="850" t="s">
        <v>111</v>
      </c>
      <c r="E32" s="217"/>
      <c r="F32" s="217"/>
      <c r="G32" s="216"/>
      <c r="H32" s="217"/>
      <c r="I32" s="217"/>
      <c r="J32" s="217"/>
      <c r="K32" s="217"/>
      <c r="L32" s="217"/>
      <c r="M32" s="217"/>
      <c r="N32" s="219"/>
      <c r="O32" s="217"/>
      <c r="P32" s="220">
        <f>P33</f>
        <v>0</v>
      </c>
      <c r="Q32" s="220">
        <f>Q33</f>
        <v>0</v>
      </c>
      <c r="R32" s="220">
        <f>+P32-Q32</f>
        <v>0</v>
      </c>
      <c r="S32" s="221">
        <v>0</v>
      </c>
      <c r="U32" s="1034"/>
    </row>
    <row r="33" spans="1:21" ht="14.65" customHeight="1">
      <c r="A33" s="224"/>
      <c r="B33" s="225"/>
      <c r="C33" s="226"/>
      <c r="D33" s="267"/>
      <c r="E33" s="861" t="s">
        <v>1678</v>
      </c>
      <c r="F33" s="66"/>
      <c r="G33" s="228"/>
      <c r="H33" s="66"/>
      <c r="I33" s="66"/>
      <c r="J33" s="66"/>
      <c r="K33" s="66"/>
      <c r="L33" s="66"/>
      <c r="M33" s="66"/>
      <c r="N33" s="230"/>
      <c r="O33" s="66"/>
      <c r="P33" s="171">
        <f>ROUNDUP(O34,-3)</f>
        <v>0</v>
      </c>
      <c r="Q33" s="171">
        <v>0</v>
      </c>
      <c r="R33" s="171">
        <f>+P33-Q33</f>
        <v>0</v>
      </c>
      <c r="S33" s="172">
        <v>0</v>
      </c>
    </row>
    <row r="34" spans="1:21" ht="14.65" customHeight="1">
      <c r="A34" s="224"/>
      <c r="B34" s="225"/>
      <c r="C34" s="226"/>
      <c r="D34" s="225"/>
      <c r="E34" s="1000"/>
      <c r="F34" s="339"/>
      <c r="G34" s="259"/>
      <c r="H34" s="260"/>
      <c r="I34" s="260"/>
      <c r="J34" s="260"/>
      <c r="K34" s="260"/>
      <c r="L34" s="260"/>
      <c r="M34" s="260"/>
      <c r="N34" s="261"/>
      <c r="O34" s="262"/>
      <c r="P34" s="263"/>
      <c r="Q34" s="1004"/>
      <c r="R34" s="263"/>
      <c r="S34" s="264"/>
    </row>
    <row r="35" spans="1:21" ht="14.65" customHeight="1">
      <c r="A35" s="1035"/>
      <c r="B35" s="278"/>
      <c r="C35" s="279"/>
      <c r="D35" s="278"/>
      <c r="E35" s="1023"/>
      <c r="F35" s="892"/>
      <c r="G35" s="579"/>
      <c r="H35" s="283"/>
      <c r="I35" s="580"/>
      <c r="J35" s="283"/>
      <c r="K35" s="284"/>
      <c r="L35" s="283"/>
      <c r="M35" s="283"/>
      <c r="N35" s="285"/>
      <c r="O35" s="286"/>
      <c r="P35" s="287"/>
      <c r="Q35" s="1027"/>
      <c r="R35" s="287"/>
      <c r="S35" s="288"/>
    </row>
    <row r="36" spans="1:21" s="192" customFormat="1" ht="14.65" customHeight="1">
      <c r="A36" s="1036"/>
      <c r="B36" s="213"/>
      <c r="C36" s="1037"/>
      <c r="D36" s="266" t="s">
        <v>1679</v>
      </c>
      <c r="E36" s="217"/>
      <c r="F36" s="217"/>
      <c r="G36" s="216"/>
      <c r="H36" s="217"/>
      <c r="I36" s="217"/>
      <c r="J36" s="217"/>
      <c r="K36" s="217"/>
      <c r="L36" s="217"/>
      <c r="M36" s="217"/>
      <c r="N36" s="219"/>
      <c r="O36" s="217"/>
      <c r="P36" s="220">
        <f>P37</f>
        <v>216088000</v>
      </c>
      <c r="Q36" s="220">
        <f>Q37</f>
        <v>152250000</v>
      </c>
      <c r="R36" s="220">
        <f>+P36-Q36</f>
        <v>63838000</v>
      </c>
      <c r="S36" s="221">
        <f>+R36/Q36</f>
        <v>0.41929720853858787</v>
      </c>
      <c r="U36" s="1034"/>
    </row>
    <row r="37" spans="1:21" ht="14.65" customHeight="1">
      <c r="A37" s="224"/>
      <c r="B37" s="225"/>
      <c r="C37" s="226"/>
      <c r="D37" s="267"/>
      <c r="E37" s="255" t="s">
        <v>1680</v>
      </c>
      <c r="F37" s="66"/>
      <c r="G37" s="228"/>
      <c r="H37" s="66"/>
      <c r="I37" s="66"/>
      <c r="J37" s="66"/>
      <c r="K37" s="66"/>
      <c r="L37" s="66"/>
      <c r="M37" s="66"/>
      <c r="N37" s="230"/>
      <c r="O37" s="66"/>
      <c r="P37" s="171">
        <f>ROUNDUP(O38,-3)</f>
        <v>216088000</v>
      </c>
      <c r="Q37" s="171">
        <v>152250000</v>
      </c>
      <c r="R37" s="171">
        <f>+P37-Q37</f>
        <v>63838000</v>
      </c>
      <c r="S37" s="172">
        <f t="shared" ref="S37" si="7">+R37/Q37</f>
        <v>0.41929720853858787</v>
      </c>
    </row>
    <row r="38" spans="1:21" ht="14.65" customHeight="1">
      <c r="A38" s="224"/>
      <c r="B38" s="225"/>
      <c r="C38" s="226"/>
      <c r="D38" s="225"/>
      <c r="E38" s="1000"/>
      <c r="F38" s="882" t="s">
        <v>1681</v>
      </c>
      <c r="G38" s="970"/>
      <c r="H38" s="969"/>
      <c r="I38" s="969"/>
      <c r="J38" s="969"/>
      <c r="K38" s="969"/>
      <c r="L38" s="969"/>
      <c r="M38" s="969"/>
      <c r="N38" s="971"/>
      <c r="O38" s="1038">
        <f>SUM(O39:O39)</f>
        <v>216088000</v>
      </c>
      <c r="P38" s="263"/>
      <c r="Q38" s="1004"/>
      <c r="R38" s="263"/>
      <c r="S38" s="264"/>
    </row>
    <row r="39" spans="1:21" ht="14.65" customHeight="1">
      <c r="A39" s="204"/>
      <c r="B39" s="278"/>
      <c r="C39" s="279"/>
      <c r="D39" s="278"/>
      <c r="E39" s="1023"/>
      <c r="F39" s="887" t="s">
        <v>1682</v>
      </c>
      <c r="G39" s="1039">
        <v>216088000</v>
      </c>
      <c r="H39" s="927" t="s">
        <v>1683</v>
      </c>
      <c r="I39" s="1040">
        <v>1</v>
      </c>
      <c r="J39" s="927"/>
      <c r="K39" s="976"/>
      <c r="L39" s="927"/>
      <c r="M39" s="927"/>
      <c r="N39" s="929" t="s">
        <v>1667</v>
      </c>
      <c r="O39" s="1041">
        <f>G39</f>
        <v>216088000</v>
      </c>
      <c r="P39" s="287"/>
      <c r="Q39" s="1027"/>
      <c r="R39" s="287"/>
      <c r="S39" s="288"/>
    </row>
    <row r="40" spans="1:21" s="192" customFormat="1" ht="14.65" customHeight="1">
      <c r="A40" s="224"/>
      <c r="B40" s="266" t="s">
        <v>1684</v>
      </c>
      <c r="C40" s="214"/>
      <c r="D40" s="214"/>
      <c r="E40" s="217"/>
      <c r="F40" s="217"/>
      <c r="G40" s="216"/>
      <c r="H40" s="217"/>
      <c r="I40" s="217"/>
      <c r="J40" s="217"/>
      <c r="K40" s="217"/>
      <c r="L40" s="217"/>
      <c r="M40" s="217"/>
      <c r="N40" s="219"/>
      <c r="O40" s="217"/>
      <c r="P40" s="220">
        <f>P41</f>
        <v>18000000</v>
      </c>
      <c r="Q40" s="220">
        <f>Q41</f>
        <v>15000000</v>
      </c>
      <c r="R40" s="220">
        <f>+P40-Q40</f>
        <v>3000000</v>
      </c>
      <c r="S40" s="221">
        <f t="shared" ref="S40" si="8">+R40/Q40</f>
        <v>0.2</v>
      </c>
    </row>
    <row r="41" spans="1:21" ht="14.65" customHeight="1">
      <c r="A41" s="224"/>
      <c r="B41" s="222"/>
      <c r="C41" s="214" t="s">
        <v>1685</v>
      </c>
      <c r="D41" s="266"/>
      <c r="E41" s="217"/>
      <c r="F41" s="217"/>
      <c r="G41" s="216"/>
      <c r="H41" s="217"/>
      <c r="I41" s="217"/>
      <c r="J41" s="217"/>
      <c r="K41" s="217"/>
      <c r="L41" s="217"/>
      <c r="M41" s="217"/>
      <c r="N41" s="219"/>
      <c r="O41" s="217"/>
      <c r="P41" s="220">
        <f>P42</f>
        <v>18000000</v>
      </c>
      <c r="Q41" s="220">
        <f>Q42</f>
        <v>15000000</v>
      </c>
      <c r="R41" s="220">
        <f>+P41-Q41</f>
        <v>3000000</v>
      </c>
      <c r="S41" s="221">
        <f>+R41/Q41</f>
        <v>0.2</v>
      </c>
    </row>
    <row r="42" spans="1:21" ht="14.65" customHeight="1">
      <c r="A42" s="224"/>
      <c r="B42" s="222"/>
      <c r="C42" s="1028"/>
      <c r="D42" s="266" t="s">
        <v>1686</v>
      </c>
      <c r="E42" s="217"/>
      <c r="F42" s="217"/>
      <c r="G42" s="216"/>
      <c r="H42" s="217"/>
      <c r="I42" s="217"/>
      <c r="J42" s="217"/>
      <c r="K42" s="217"/>
      <c r="L42" s="217"/>
      <c r="M42" s="217"/>
      <c r="N42" s="219"/>
      <c r="O42" s="217"/>
      <c r="P42" s="220">
        <f>SUM(P43)</f>
        <v>18000000</v>
      </c>
      <c r="Q42" s="220">
        <f>SUM(Q43)</f>
        <v>15000000</v>
      </c>
      <c r="R42" s="220">
        <f>+P42-Q42</f>
        <v>3000000</v>
      </c>
      <c r="S42" s="221">
        <f>+R42/Q42</f>
        <v>0.2</v>
      </c>
    </row>
    <row r="43" spans="1:21" ht="14.65" customHeight="1">
      <c r="A43" s="224"/>
      <c r="B43" s="225"/>
      <c r="C43" s="1029"/>
      <c r="D43" s="267"/>
      <c r="E43" s="255" t="s">
        <v>1687</v>
      </c>
      <c r="F43" s="66"/>
      <c r="G43" s="228"/>
      <c r="H43" s="66"/>
      <c r="I43" s="66"/>
      <c r="J43" s="66"/>
      <c r="K43" s="66"/>
      <c r="L43" s="66"/>
      <c r="M43" s="66"/>
      <c r="N43" s="230"/>
      <c r="O43" s="66"/>
      <c r="P43" s="171">
        <f>O44</f>
        <v>18000000</v>
      </c>
      <c r="Q43" s="171">
        <v>15000000</v>
      </c>
      <c r="R43" s="171">
        <f>+P43-Q43</f>
        <v>3000000</v>
      </c>
      <c r="S43" s="172">
        <f t="shared" ref="S43" si="9">+R43/Q43</f>
        <v>0.2</v>
      </c>
    </row>
    <row r="44" spans="1:21" ht="14.65" customHeight="1">
      <c r="A44" s="224"/>
      <c r="B44" s="225"/>
      <c r="C44" s="226"/>
      <c r="D44" s="225"/>
      <c r="E44" s="240"/>
      <c r="F44" s="240" t="s">
        <v>1688</v>
      </c>
      <c r="G44" s="249"/>
      <c r="H44" s="240"/>
      <c r="I44" s="240"/>
      <c r="J44" s="240"/>
      <c r="K44" s="240"/>
      <c r="L44" s="240"/>
      <c r="M44" s="240"/>
      <c r="N44" s="244"/>
      <c r="O44" s="251">
        <f>SUM(O45)</f>
        <v>18000000</v>
      </c>
      <c r="P44" s="235"/>
      <c r="Q44" s="997"/>
      <c r="R44" s="235"/>
      <c r="S44" s="246"/>
    </row>
    <row r="45" spans="1:21" ht="14.65" customHeight="1" thickBot="1">
      <c r="A45" s="425"/>
      <c r="B45" s="426"/>
      <c r="C45" s="1006"/>
      <c r="D45" s="426"/>
      <c r="E45" s="432"/>
      <c r="F45" s="432" t="s">
        <v>1689</v>
      </c>
      <c r="G45" s="433">
        <v>18000000</v>
      </c>
      <c r="H45" s="434" t="s">
        <v>1028</v>
      </c>
      <c r="I45" s="435">
        <v>1</v>
      </c>
      <c r="J45" s="434"/>
      <c r="K45" s="436"/>
      <c r="L45" s="434"/>
      <c r="M45" s="434"/>
      <c r="N45" s="437" t="s">
        <v>1667</v>
      </c>
      <c r="O45" s="438">
        <f>G45*I45</f>
        <v>18000000</v>
      </c>
      <c r="P45" s="1014"/>
      <c r="Q45" s="1015"/>
      <c r="R45" s="1014"/>
      <c r="S45" s="1016"/>
    </row>
    <row r="46" spans="1:21" ht="15" customHeight="1"/>
    <row r="47" spans="1:21" ht="15" customHeight="1"/>
    <row r="48" spans="1:21" ht="15" customHeight="1"/>
    <row r="49" spans="2:19" ht="15" customHeight="1"/>
    <row r="50" spans="2:19" ht="15" customHeight="1"/>
    <row r="51" spans="2:19" ht="15" customHeight="1"/>
    <row r="52" spans="2:19" ht="15" customHeight="1">
      <c r="B52" s="196"/>
      <c r="C52" s="196"/>
      <c r="D52" s="196"/>
      <c r="G52" s="196"/>
      <c r="N52" s="196"/>
      <c r="P52" s="196"/>
      <c r="Q52" s="196"/>
      <c r="R52" s="196"/>
      <c r="S52" s="196"/>
    </row>
    <row r="53" spans="2:19" ht="15" customHeight="1">
      <c r="B53" s="196"/>
      <c r="C53" s="196"/>
      <c r="D53" s="196"/>
      <c r="G53" s="196"/>
      <c r="N53" s="196"/>
      <c r="P53" s="196"/>
      <c r="Q53" s="196"/>
      <c r="R53" s="196"/>
      <c r="S53" s="196"/>
    </row>
    <row r="54" spans="2:19" ht="15" customHeight="1">
      <c r="B54" s="196"/>
      <c r="C54" s="196"/>
      <c r="D54" s="196"/>
      <c r="G54" s="196"/>
      <c r="N54" s="196"/>
      <c r="P54" s="196"/>
      <c r="Q54" s="196"/>
      <c r="R54" s="196"/>
      <c r="S54" s="196"/>
    </row>
    <row r="55" spans="2:19" ht="15" customHeight="1">
      <c r="B55" s="196"/>
      <c r="C55" s="196"/>
      <c r="D55" s="196"/>
      <c r="G55" s="196"/>
      <c r="N55" s="196"/>
      <c r="P55" s="196"/>
      <c r="Q55" s="196"/>
      <c r="R55" s="196"/>
      <c r="S55" s="196"/>
    </row>
    <row r="56" spans="2:19" ht="15" customHeight="1">
      <c r="B56" s="196"/>
      <c r="C56" s="196"/>
      <c r="D56" s="196"/>
      <c r="G56" s="196"/>
      <c r="N56" s="196"/>
      <c r="P56" s="196"/>
      <c r="Q56" s="196"/>
      <c r="R56" s="196"/>
      <c r="S56" s="196"/>
    </row>
    <row r="57" spans="2:19" ht="15" customHeight="1">
      <c r="B57" s="196"/>
      <c r="C57" s="196"/>
      <c r="D57" s="196"/>
      <c r="G57" s="196"/>
      <c r="N57" s="196"/>
      <c r="P57" s="196"/>
      <c r="Q57" s="196"/>
      <c r="R57" s="196"/>
      <c r="S57" s="196"/>
    </row>
    <row r="58" spans="2:19" ht="15" customHeight="1">
      <c r="B58" s="196"/>
      <c r="C58" s="196"/>
      <c r="D58" s="196"/>
      <c r="G58" s="196"/>
      <c r="N58" s="196"/>
      <c r="P58" s="196"/>
      <c r="Q58" s="196"/>
      <c r="R58" s="196"/>
      <c r="S58" s="196"/>
    </row>
    <row r="59" spans="2:19" ht="15" customHeight="1">
      <c r="B59" s="196"/>
      <c r="C59" s="196"/>
      <c r="D59" s="196"/>
      <c r="G59" s="196"/>
      <c r="N59" s="196"/>
      <c r="P59" s="196"/>
      <c r="Q59" s="196"/>
      <c r="R59" s="196"/>
      <c r="S59" s="196"/>
    </row>
    <row r="60" spans="2:19" ht="15" customHeight="1">
      <c r="B60" s="196"/>
      <c r="C60" s="196"/>
      <c r="D60" s="196"/>
      <c r="G60" s="196"/>
      <c r="N60" s="196"/>
      <c r="P60" s="196"/>
      <c r="Q60" s="196"/>
      <c r="R60" s="196"/>
      <c r="S60" s="196"/>
    </row>
    <row r="61" spans="2:19" ht="15" customHeight="1">
      <c r="B61" s="196"/>
      <c r="C61" s="196"/>
      <c r="D61" s="196"/>
      <c r="G61" s="196"/>
      <c r="N61" s="196"/>
      <c r="P61" s="196"/>
      <c r="Q61" s="196"/>
      <c r="R61" s="196"/>
      <c r="S61" s="196"/>
    </row>
    <row r="62" spans="2:19" ht="15" customHeight="1">
      <c r="B62" s="196"/>
      <c r="C62" s="196"/>
      <c r="D62" s="196"/>
      <c r="G62" s="196"/>
      <c r="N62" s="196"/>
      <c r="P62" s="196"/>
      <c r="Q62" s="196"/>
      <c r="R62" s="196"/>
      <c r="S62" s="196"/>
    </row>
    <row r="63" spans="2:19" ht="15" customHeight="1">
      <c r="B63" s="196"/>
      <c r="C63" s="196"/>
      <c r="D63" s="196"/>
      <c r="G63" s="196"/>
      <c r="N63" s="196"/>
      <c r="P63" s="196"/>
      <c r="Q63" s="196"/>
      <c r="R63" s="196"/>
      <c r="S63" s="196"/>
    </row>
    <row r="64" spans="2:19" ht="12" customHeight="1">
      <c r="B64" s="196"/>
      <c r="C64" s="196"/>
      <c r="D64" s="196"/>
      <c r="G64" s="196"/>
      <c r="N64" s="196"/>
      <c r="P64" s="196"/>
      <c r="Q64" s="196"/>
      <c r="R64" s="196"/>
      <c r="S64" s="196"/>
    </row>
    <row r="65" spans="2:19" ht="12" customHeight="1">
      <c r="B65" s="196"/>
      <c r="C65" s="196"/>
      <c r="D65" s="196"/>
      <c r="G65" s="196"/>
      <c r="N65" s="196"/>
      <c r="P65" s="196"/>
      <c r="Q65" s="196"/>
      <c r="R65" s="196"/>
      <c r="S65" s="196"/>
    </row>
    <row r="66" spans="2:19" ht="12" customHeight="1">
      <c r="B66" s="196"/>
      <c r="C66" s="196"/>
      <c r="D66" s="196"/>
      <c r="G66" s="196"/>
      <c r="N66" s="196"/>
      <c r="P66" s="196"/>
      <c r="Q66" s="196"/>
      <c r="R66" s="196"/>
      <c r="S66" s="196"/>
    </row>
    <row r="67" spans="2:19" ht="12" customHeight="1">
      <c r="B67" s="196"/>
      <c r="C67" s="196"/>
      <c r="D67" s="196"/>
      <c r="G67" s="196"/>
      <c r="N67" s="196"/>
      <c r="P67" s="196"/>
      <c r="Q67" s="196"/>
      <c r="R67" s="196"/>
      <c r="S67" s="196"/>
    </row>
    <row r="68" spans="2:19" ht="12" customHeight="1">
      <c r="B68" s="196"/>
      <c r="C68" s="196"/>
      <c r="D68" s="196"/>
      <c r="G68" s="196"/>
      <c r="N68" s="196"/>
      <c r="P68" s="196"/>
      <c r="Q68" s="196"/>
      <c r="R68" s="196"/>
      <c r="S68" s="196"/>
    </row>
    <row r="69" spans="2:19" ht="12" customHeight="1">
      <c r="B69" s="196"/>
      <c r="C69" s="196"/>
      <c r="D69" s="196"/>
      <c r="G69" s="196"/>
      <c r="N69" s="196"/>
      <c r="P69" s="196"/>
      <c r="Q69" s="196"/>
      <c r="R69" s="196"/>
      <c r="S69" s="196"/>
    </row>
    <row r="70" spans="2:19" ht="12" customHeight="1">
      <c r="B70" s="196"/>
      <c r="C70" s="196"/>
      <c r="D70" s="196"/>
      <c r="G70" s="196"/>
      <c r="N70" s="196"/>
      <c r="P70" s="196"/>
      <c r="Q70" s="196"/>
      <c r="R70" s="196"/>
      <c r="S70" s="196"/>
    </row>
    <row r="71" spans="2:19" ht="12" customHeight="1">
      <c r="B71" s="196"/>
      <c r="C71" s="196"/>
      <c r="D71" s="196"/>
      <c r="G71" s="196"/>
      <c r="N71" s="196"/>
      <c r="P71" s="196"/>
      <c r="Q71" s="196"/>
      <c r="R71" s="196"/>
      <c r="S71" s="196"/>
    </row>
    <row r="72" spans="2:19" ht="12" customHeight="1">
      <c r="B72" s="196"/>
      <c r="C72" s="196"/>
      <c r="D72" s="196"/>
      <c r="G72" s="196"/>
      <c r="N72" s="196"/>
      <c r="P72" s="196"/>
      <c r="Q72" s="196"/>
      <c r="R72" s="196"/>
      <c r="S72" s="196"/>
    </row>
    <row r="73" spans="2:19" ht="12" customHeight="1">
      <c r="B73" s="196"/>
      <c r="C73" s="196"/>
      <c r="D73" s="196"/>
      <c r="G73" s="196"/>
      <c r="N73" s="196"/>
      <c r="P73" s="196"/>
      <c r="Q73" s="196"/>
      <c r="R73" s="196"/>
      <c r="S73" s="196"/>
    </row>
    <row r="74" spans="2:19" ht="12" customHeight="1">
      <c r="B74" s="196"/>
      <c r="C74" s="196"/>
      <c r="D74" s="196"/>
      <c r="G74" s="196"/>
      <c r="N74" s="196"/>
      <c r="P74" s="196"/>
      <c r="Q74" s="196"/>
      <c r="R74" s="196"/>
      <c r="S74" s="196"/>
    </row>
    <row r="75" spans="2:19" ht="12" customHeight="1">
      <c r="B75" s="196"/>
      <c r="C75" s="196"/>
      <c r="D75" s="196"/>
      <c r="G75" s="196"/>
      <c r="N75" s="196"/>
      <c r="P75" s="196"/>
      <c r="Q75" s="196"/>
      <c r="R75" s="196"/>
      <c r="S75" s="196"/>
    </row>
    <row r="76" spans="2:19" ht="12" customHeight="1">
      <c r="B76" s="196"/>
      <c r="C76" s="196"/>
      <c r="D76" s="196"/>
      <c r="G76" s="196"/>
      <c r="N76" s="196"/>
      <c r="P76" s="196"/>
      <c r="Q76" s="196"/>
      <c r="R76" s="196"/>
      <c r="S76" s="196"/>
    </row>
    <row r="77" spans="2:19" ht="12" customHeight="1">
      <c r="B77" s="196"/>
      <c r="C77" s="196"/>
      <c r="D77" s="196"/>
      <c r="G77" s="196"/>
      <c r="N77" s="196"/>
      <c r="P77" s="196"/>
      <c r="Q77" s="196"/>
      <c r="R77" s="196"/>
      <c r="S77" s="196"/>
    </row>
    <row r="78" spans="2:19" ht="12" customHeight="1">
      <c r="B78" s="196"/>
      <c r="C78" s="196"/>
      <c r="D78" s="196"/>
      <c r="G78" s="196"/>
      <c r="N78" s="196"/>
      <c r="P78" s="196"/>
      <c r="Q78" s="196"/>
      <c r="R78" s="196"/>
      <c r="S78" s="196"/>
    </row>
    <row r="79" spans="2:19" ht="12" customHeight="1">
      <c r="B79" s="196"/>
      <c r="C79" s="196"/>
      <c r="D79" s="196"/>
      <c r="G79" s="196"/>
      <c r="N79" s="196"/>
      <c r="P79" s="196"/>
      <c r="Q79" s="196"/>
      <c r="R79" s="196"/>
      <c r="S79" s="196"/>
    </row>
    <row r="80" spans="2:19" ht="12" customHeight="1">
      <c r="B80" s="196"/>
      <c r="C80" s="196"/>
      <c r="D80" s="196"/>
      <c r="G80" s="196"/>
      <c r="N80" s="196"/>
      <c r="P80" s="196"/>
      <c r="Q80" s="196"/>
      <c r="R80" s="196"/>
      <c r="S80" s="196"/>
    </row>
    <row r="81" spans="2:19" ht="12" customHeight="1">
      <c r="B81" s="196"/>
      <c r="C81" s="196"/>
      <c r="D81" s="196"/>
      <c r="G81" s="196"/>
      <c r="N81" s="196"/>
      <c r="P81" s="196"/>
      <c r="Q81" s="196"/>
      <c r="R81" s="196"/>
      <c r="S81" s="196"/>
    </row>
    <row r="82" spans="2:19" ht="12" customHeight="1">
      <c r="B82" s="196"/>
      <c r="C82" s="196"/>
      <c r="D82" s="196"/>
      <c r="G82" s="196"/>
      <c r="N82" s="196"/>
      <c r="P82" s="196"/>
      <c r="Q82" s="196"/>
      <c r="R82" s="196"/>
      <c r="S82" s="196"/>
    </row>
    <row r="83" spans="2:19" ht="12" customHeight="1">
      <c r="B83" s="196"/>
      <c r="C83" s="196"/>
      <c r="D83" s="196"/>
      <c r="G83" s="196"/>
      <c r="N83" s="196"/>
      <c r="P83" s="196"/>
      <c r="Q83" s="196"/>
      <c r="R83" s="196"/>
      <c r="S83" s="196"/>
    </row>
    <row r="84" spans="2:19" ht="12" customHeight="1">
      <c r="B84" s="196"/>
      <c r="C84" s="196"/>
      <c r="D84" s="196"/>
      <c r="G84" s="196"/>
      <c r="N84" s="196"/>
      <c r="P84" s="196"/>
      <c r="Q84" s="196"/>
      <c r="R84" s="196"/>
      <c r="S84" s="196"/>
    </row>
    <row r="85" spans="2:19" ht="12" customHeight="1">
      <c r="B85" s="196"/>
      <c r="C85" s="196"/>
      <c r="D85" s="196"/>
      <c r="G85" s="196"/>
      <c r="N85" s="196"/>
      <c r="P85" s="196"/>
      <c r="Q85" s="196"/>
      <c r="R85" s="196"/>
      <c r="S85" s="196"/>
    </row>
    <row r="86" spans="2:19" ht="12" customHeight="1">
      <c r="B86" s="196"/>
      <c r="C86" s="196"/>
      <c r="D86" s="196"/>
      <c r="G86" s="196"/>
      <c r="N86" s="196"/>
      <c r="P86" s="196"/>
      <c r="Q86" s="196"/>
      <c r="R86" s="196"/>
      <c r="S86" s="196"/>
    </row>
    <row r="87" spans="2:19" ht="12" customHeight="1">
      <c r="B87" s="196"/>
      <c r="C87" s="196"/>
      <c r="D87" s="196"/>
      <c r="G87" s="196"/>
      <c r="N87" s="196"/>
      <c r="P87" s="196"/>
      <c r="Q87" s="196"/>
      <c r="R87" s="196"/>
      <c r="S87" s="196"/>
    </row>
    <row r="88" spans="2:19" ht="12" customHeight="1">
      <c r="B88" s="196"/>
      <c r="C88" s="196"/>
      <c r="D88" s="196"/>
      <c r="G88" s="196"/>
      <c r="N88" s="196"/>
      <c r="P88" s="196"/>
      <c r="Q88" s="196"/>
      <c r="R88" s="196"/>
      <c r="S88" s="196"/>
    </row>
    <row r="89" spans="2:19" ht="12" customHeight="1">
      <c r="B89" s="196"/>
      <c r="C89" s="196"/>
      <c r="D89" s="196"/>
      <c r="G89" s="196"/>
      <c r="N89" s="196"/>
      <c r="P89" s="196"/>
      <c r="Q89" s="196"/>
      <c r="R89" s="196"/>
      <c r="S89" s="196"/>
    </row>
    <row r="90" spans="2:19" ht="12" customHeight="1">
      <c r="B90" s="196"/>
      <c r="C90" s="196"/>
      <c r="D90" s="196"/>
      <c r="G90" s="196"/>
      <c r="N90" s="196"/>
      <c r="P90" s="196"/>
      <c r="Q90" s="196"/>
      <c r="R90" s="196"/>
      <c r="S90" s="196"/>
    </row>
    <row r="91" spans="2:19" ht="12" customHeight="1">
      <c r="B91" s="196"/>
      <c r="C91" s="196"/>
      <c r="D91" s="196"/>
      <c r="G91" s="196"/>
      <c r="N91" s="196"/>
      <c r="P91" s="196"/>
      <c r="Q91" s="196"/>
      <c r="R91" s="196"/>
      <c r="S91" s="196"/>
    </row>
    <row r="92" spans="2:19" ht="12" customHeight="1">
      <c r="B92" s="196"/>
      <c r="C92" s="196"/>
      <c r="D92" s="196"/>
      <c r="G92" s="196"/>
      <c r="N92" s="196"/>
      <c r="P92" s="196"/>
      <c r="Q92" s="196"/>
      <c r="R92" s="196"/>
      <c r="S92" s="196"/>
    </row>
    <row r="93" spans="2:19" ht="12" customHeight="1">
      <c r="B93" s="196"/>
      <c r="C93" s="196"/>
      <c r="D93" s="196"/>
      <c r="G93" s="196"/>
      <c r="N93" s="196"/>
      <c r="P93" s="196"/>
      <c r="Q93" s="196"/>
      <c r="R93" s="196"/>
      <c r="S93" s="196"/>
    </row>
    <row r="94" spans="2:19" ht="12" customHeight="1">
      <c r="B94" s="196"/>
      <c r="C94" s="196"/>
      <c r="D94" s="196"/>
      <c r="G94" s="196"/>
      <c r="N94" s="196"/>
      <c r="P94" s="196"/>
      <c r="Q94" s="196"/>
      <c r="R94" s="196"/>
      <c r="S94" s="196"/>
    </row>
    <row r="95" spans="2:19" ht="12" customHeight="1">
      <c r="B95" s="196"/>
      <c r="C95" s="196"/>
      <c r="D95" s="196"/>
      <c r="G95" s="196"/>
      <c r="N95" s="196"/>
      <c r="P95" s="196"/>
      <c r="Q95" s="196"/>
      <c r="R95" s="196"/>
      <c r="S95" s="196"/>
    </row>
    <row r="96" spans="2:19" ht="12" customHeight="1">
      <c r="B96" s="196"/>
      <c r="C96" s="196"/>
      <c r="D96" s="196"/>
      <c r="G96" s="196"/>
      <c r="N96" s="196"/>
      <c r="P96" s="196"/>
      <c r="Q96" s="196"/>
      <c r="R96" s="196"/>
      <c r="S96" s="196"/>
    </row>
    <row r="97" spans="2:19" ht="12" customHeight="1">
      <c r="B97" s="196"/>
      <c r="C97" s="196"/>
      <c r="D97" s="196"/>
      <c r="G97" s="196"/>
      <c r="N97" s="196"/>
      <c r="P97" s="196"/>
      <c r="Q97" s="196"/>
      <c r="R97" s="196"/>
      <c r="S97" s="196"/>
    </row>
    <row r="98" spans="2:19" ht="12" customHeight="1">
      <c r="B98" s="196"/>
      <c r="C98" s="196"/>
      <c r="D98" s="196"/>
      <c r="G98" s="196"/>
      <c r="N98" s="196"/>
      <c r="P98" s="196"/>
      <c r="Q98" s="196"/>
      <c r="R98" s="196"/>
      <c r="S98" s="196"/>
    </row>
    <row r="99" spans="2:19" ht="12" customHeight="1">
      <c r="B99" s="196"/>
      <c r="C99" s="196"/>
      <c r="D99" s="196"/>
      <c r="G99" s="196"/>
      <c r="N99" s="196"/>
      <c r="P99" s="196"/>
      <c r="Q99" s="196"/>
      <c r="R99" s="196"/>
      <c r="S99" s="196"/>
    </row>
    <row r="100" spans="2:19" ht="12" customHeight="1">
      <c r="B100" s="196"/>
      <c r="C100" s="196"/>
      <c r="D100" s="196"/>
      <c r="G100" s="196"/>
      <c r="N100" s="196"/>
      <c r="P100" s="196"/>
      <c r="Q100" s="196"/>
      <c r="R100" s="196"/>
      <c r="S100" s="196"/>
    </row>
    <row r="101" spans="2:19" ht="12" customHeight="1">
      <c r="B101" s="196"/>
      <c r="C101" s="196"/>
      <c r="D101" s="196"/>
      <c r="G101" s="196"/>
      <c r="N101" s="196"/>
      <c r="P101" s="196"/>
      <c r="Q101" s="196"/>
      <c r="R101" s="196"/>
      <c r="S101" s="196"/>
    </row>
    <row r="102" spans="2:19" ht="12" customHeight="1">
      <c r="B102" s="196"/>
      <c r="C102" s="196"/>
      <c r="D102" s="196"/>
      <c r="G102" s="196"/>
      <c r="N102" s="196"/>
      <c r="P102" s="196"/>
      <c r="Q102" s="196"/>
      <c r="R102" s="196"/>
      <c r="S102" s="196"/>
    </row>
    <row r="103" spans="2:19" ht="12" customHeight="1">
      <c r="B103" s="196"/>
      <c r="C103" s="196"/>
      <c r="D103" s="196"/>
      <c r="G103" s="196"/>
      <c r="N103" s="196"/>
      <c r="P103" s="196"/>
      <c r="Q103" s="196"/>
      <c r="R103" s="196"/>
      <c r="S103" s="196"/>
    </row>
    <row r="104" spans="2:19" ht="12" customHeight="1">
      <c r="B104" s="196"/>
      <c r="C104" s="196"/>
      <c r="D104" s="196"/>
      <c r="G104" s="196"/>
      <c r="N104" s="196"/>
      <c r="P104" s="196"/>
      <c r="Q104" s="196"/>
      <c r="R104" s="196"/>
      <c r="S104" s="196"/>
    </row>
    <row r="105" spans="2:19" ht="12" customHeight="1">
      <c r="B105" s="196"/>
      <c r="C105" s="196"/>
      <c r="D105" s="196"/>
      <c r="G105" s="196"/>
      <c r="N105" s="196"/>
      <c r="P105" s="196"/>
      <c r="Q105" s="196"/>
      <c r="R105" s="196"/>
      <c r="S105" s="196"/>
    </row>
    <row r="106" spans="2:19" ht="12" customHeight="1">
      <c r="B106" s="196"/>
      <c r="C106" s="196"/>
      <c r="D106" s="196"/>
      <c r="G106" s="196"/>
      <c r="N106" s="196"/>
      <c r="P106" s="196"/>
      <c r="Q106" s="196"/>
      <c r="R106" s="196"/>
      <c r="S106" s="196"/>
    </row>
    <row r="107" spans="2:19" ht="12" customHeight="1">
      <c r="B107" s="196"/>
      <c r="C107" s="196"/>
      <c r="D107" s="196"/>
      <c r="G107" s="196"/>
      <c r="N107" s="196"/>
      <c r="P107" s="196"/>
      <c r="Q107" s="196"/>
      <c r="R107" s="196"/>
      <c r="S107" s="196"/>
    </row>
    <row r="108" spans="2:19" ht="12" customHeight="1">
      <c r="B108" s="196"/>
      <c r="C108" s="196"/>
      <c r="D108" s="196"/>
      <c r="G108" s="196"/>
      <c r="N108" s="196"/>
      <c r="P108" s="196"/>
      <c r="Q108" s="196"/>
      <c r="R108" s="196"/>
      <c r="S108" s="196"/>
    </row>
    <row r="109" spans="2:19" ht="12" customHeight="1">
      <c r="B109" s="196"/>
      <c r="C109" s="196"/>
      <c r="D109" s="196"/>
      <c r="G109" s="196"/>
      <c r="N109" s="196"/>
      <c r="P109" s="196"/>
      <c r="Q109" s="196"/>
      <c r="R109" s="196"/>
      <c r="S109" s="196"/>
    </row>
    <row r="110" spans="2:19" ht="12" customHeight="1">
      <c r="B110" s="196"/>
      <c r="C110" s="196"/>
      <c r="D110" s="196"/>
      <c r="G110" s="196"/>
      <c r="N110" s="196"/>
      <c r="P110" s="196"/>
      <c r="Q110" s="196"/>
      <c r="R110" s="196"/>
      <c r="S110" s="196"/>
    </row>
    <row r="111" spans="2:19" ht="12" customHeight="1">
      <c r="B111" s="196"/>
      <c r="C111" s="196"/>
      <c r="D111" s="196"/>
      <c r="G111" s="196"/>
      <c r="N111" s="196"/>
      <c r="P111" s="196"/>
      <c r="Q111" s="196"/>
      <c r="R111" s="196"/>
      <c r="S111" s="196"/>
    </row>
    <row r="112" spans="2:19" ht="12" customHeight="1">
      <c r="B112" s="196"/>
      <c r="C112" s="196"/>
      <c r="D112" s="196"/>
      <c r="G112" s="196"/>
      <c r="N112" s="196"/>
      <c r="P112" s="196"/>
      <c r="Q112" s="196"/>
      <c r="R112" s="196"/>
      <c r="S112" s="196"/>
    </row>
    <row r="113" spans="2:19" ht="12" customHeight="1">
      <c r="B113" s="196"/>
      <c r="C113" s="196"/>
      <c r="D113" s="196"/>
      <c r="G113" s="196"/>
      <c r="N113" s="196"/>
      <c r="P113" s="196"/>
      <c r="Q113" s="196"/>
      <c r="R113" s="196"/>
      <c r="S113" s="196"/>
    </row>
    <row r="114" spans="2:19" ht="12" customHeight="1">
      <c r="B114" s="196"/>
      <c r="C114" s="196"/>
      <c r="D114" s="196"/>
      <c r="G114" s="196"/>
      <c r="N114" s="196"/>
      <c r="P114" s="196"/>
      <c r="Q114" s="196"/>
      <c r="R114" s="196"/>
      <c r="S114" s="196"/>
    </row>
    <row r="115" spans="2:19" ht="12" customHeight="1">
      <c r="B115" s="196"/>
      <c r="C115" s="196"/>
      <c r="D115" s="196"/>
      <c r="G115" s="196"/>
      <c r="N115" s="196"/>
      <c r="P115" s="196"/>
      <c r="Q115" s="196"/>
      <c r="R115" s="196"/>
      <c r="S115" s="196"/>
    </row>
    <row r="116" spans="2:19" ht="12" customHeight="1">
      <c r="B116" s="196"/>
      <c r="C116" s="196"/>
      <c r="D116" s="196"/>
      <c r="G116" s="196"/>
      <c r="N116" s="196"/>
      <c r="P116" s="196"/>
      <c r="Q116" s="196"/>
      <c r="R116" s="196"/>
      <c r="S116" s="196"/>
    </row>
    <row r="117" spans="2:19" ht="12" customHeight="1">
      <c r="B117" s="196"/>
      <c r="C117" s="196"/>
      <c r="D117" s="196"/>
      <c r="G117" s="196"/>
      <c r="N117" s="196"/>
      <c r="P117" s="196"/>
      <c r="Q117" s="196"/>
      <c r="R117" s="196"/>
      <c r="S117" s="196"/>
    </row>
    <row r="118" spans="2:19" ht="12" customHeight="1">
      <c r="B118" s="196"/>
      <c r="C118" s="196"/>
      <c r="D118" s="196"/>
      <c r="G118" s="196"/>
      <c r="N118" s="196"/>
      <c r="P118" s="196"/>
      <c r="Q118" s="196"/>
      <c r="R118" s="196"/>
      <c r="S118" s="196"/>
    </row>
  </sheetData>
  <mergeCells count="8">
    <mergeCell ref="A1:S1"/>
    <mergeCell ref="R2:S2"/>
    <mergeCell ref="A3:E3"/>
    <mergeCell ref="G3:O4"/>
    <mergeCell ref="P3:P4"/>
    <mergeCell ref="Q3:Q4"/>
    <mergeCell ref="R3:R4"/>
    <mergeCell ref="S3:S4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scale="85" firstPageNumber="29" fitToHeight="0" orientation="landscape" useFirstPageNumber="1" horizontalDpi="4294967293" r:id="rId1"/>
  <headerFooter scaleWithDoc="0" alignWithMargins="0">
    <oddFooter>&amp;C&amp;P</oddFooter>
  </headerFooter>
  <rowBreaks count="1" manualBreakCount="1">
    <brk id="35" max="18" man="1"/>
  </rowBreaks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99FF"/>
    <pageSetUpPr fitToPage="1"/>
  </sheetPr>
  <dimension ref="A1:T101"/>
  <sheetViews>
    <sheetView view="pageBreakPreview" zoomScaleNormal="85" zoomScaleSheetLayoutView="100" workbookViewId="0">
      <pane xSplit="3" ySplit="7" topLeftCell="D8" activePane="bottomRight" state="frozen"/>
      <selection activeCell="V20" sqref="V20"/>
      <selection pane="topRight" activeCell="V20" sqref="V20"/>
      <selection pane="bottomLeft" activeCell="V20" sqref="V20"/>
      <selection pane="bottomRight" activeCell="V20" sqref="V20"/>
    </sheetView>
  </sheetViews>
  <sheetFormatPr defaultColWidth="9" defaultRowHeight="13.5"/>
  <cols>
    <col min="1" max="1" width="3.625" style="917" customWidth="1"/>
    <col min="2" max="4" width="3.625" style="916" customWidth="1"/>
    <col min="5" max="5" width="10.625" style="917" customWidth="1"/>
    <col min="6" max="6" width="20.625" style="917" customWidth="1"/>
    <col min="7" max="7" width="12.25" style="918" bestFit="1" customWidth="1"/>
    <col min="8" max="8" width="2.125" style="917" customWidth="1"/>
    <col min="9" max="9" width="5.875" style="917" bestFit="1" customWidth="1"/>
    <col min="10" max="10" width="2.125" style="917" customWidth="1"/>
    <col min="11" max="11" width="4.875" style="917" bestFit="1" customWidth="1"/>
    <col min="12" max="12" width="2.75" style="917" customWidth="1"/>
    <col min="13" max="13" width="4.875" style="917" bestFit="1" customWidth="1"/>
    <col min="14" max="14" width="2.625" style="919" customWidth="1"/>
    <col min="15" max="15" width="12.625" style="917" customWidth="1"/>
    <col min="16" max="16" width="10.625" style="920" customWidth="1"/>
    <col min="17" max="18" width="10.625" style="921" customWidth="1"/>
    <col min="19" max="19" width="10.625" style="988" customWidth="1"/>
    <col min="20" max="16384" width="9" style="917"/>
  </cols>
  <sheetData>
    <row r="1" spans="1:20" s="915" customFormat="1" ht="35.1" customHeight="1">
      <c r="A1" s="1968" t="s">
        <v>1649</v>
      </c>
      <c r="B1" s="1968"/>
      <c r="C1" s="1968"/>
      <c r="D1" s="1968"/>
      <c r="E1" s="1968"/>
      <c r="F1" s="1968"/>
      <c r="G1" s="1968"/>
      <c r="H1" s="1968"/>
      <c r="I1" s="1968"/>
      <c r="J1" s="1968"/>
      <c r="K1" s="1968"/>
      <c r="L1" s="1968"/>
      <c r="M1" s="1968"/>
      <c r="N1" s="1968"/>
      <c r="O1" s="1968"/>
      <c r="P1" s="1968"/>
      <c r="Q1" s="1968"/>
      <c r="R1" s="1968"/>
      <c r="S1" s="1968"/>
    </row>
    <row r="2" spans="1:20" ht="15" customHeight="1" thickBot="1">
      <c r="A2" s="915" t="s">
        <v>951</v>
      </c>
      <c r="R2" s="1953" t="s">
        <v>293</v>
      </c>
      <c r="S2" s="1953"/>
    </row>
    <row r="3" spans="1:20" s="922" customFormat="1" ht="15" customHeight="1">
      <c r="A3" s="1954" t="s">
        <v>475</v>
      </c>
      <c r="B3" s="1955"/>
      <c r="C3" s="1955"/>
      <c r="D3" s="1955"/>
      <c r="E3" s="1955"/>
      <c r="F3" s="1745"/>
      <c r="G3" s="1956" t="s">
        <v>295</v>
      </c>
      <c r="H3" s="1956"/>
      <c r="I3" s="1956"/>
      <c r="J3" s="1956"/>
      <c r="K3" s="1956"/>
      <c r="L3" s="1956"/>
      <c r="M3" s="1956"/>
      <c r="N3" s="1956"/>
      <c r="O3" s="1957"/>
      <c r="P3" s="1960" t="s">
        <v>296</v>
      </c>
      <c r="Q3" s="1962" t="s">
        <v>94</v>
      </c>
      <c r="R3" s="1964" t="s">
        <v>297</v>
      </c>
      <c r="S3" s="1966" t="s">
        <v>298</v>
      </c>
    </row>
    <row r="4" spans="1:20" s="922" customFormat="1" ht="15" customHeight="1" thickBot="1">
      <c r="A4" s="1746" t="s">
        <v>299</v>
      </c>
      <c r="B4" s="1747" t="s">
        <v>300</v>
      </c>
      <c r="C4" s="1747" t="s">
        <v>301</v>
      </c>
      <c r="D4" s="1747" t="s">
        <v>359</v>
      </c>
      <c r="E4" s="1747" t="s">
        <v>302</v>
      </c>
      <c r="F4" s="1748" t="s">
        <v>479</v>
      </c>
      <c r="G4" s="1958"/>
      <c r="H4" s="1958"/>
      <c r="I4" s="1958"/>
      <c r="J4" s="1958"/>
      <c r="K4" s="1958"/>
      <c r="L4" s="1958"/>
      <c r="M4" s="1958"/>
      <c r="N4" s="1958"/>
      <c r="O4" s="1959"/>
      <c r="P4" s="1961"/>
      <c r="Q4" s="1963"/>
      <c r="R4" s="1965"/>
      <c r="S4" s="1967"/>
    </row>
    <row r="5" spans="1:20" s="926" customFormat="1" ht="15" customHeight="1" thickBot="1">
      <c r="A5" s="923" t="s">
        <v>2614</v>
      </c>
      <c r="B5" s="924"/>
      <c r="C5" s="72"/>
      <c r="D5" s="72"/>
      <c r="E5" s="72"/>
      <c r="F5" s="72"/>
      <c r="G5" s="71"/>
      <c r="H5" s="72"/>
      <c r="I5" s="72"/>
      <c r="J5" s="72"/>
      <c r="K5" s="72"/>
      <c r="L5" s="72"/>
      <c r="M5" s="72"/>
      <c r="N5" s="74"/>
      <c r="O5" s="72"/>
      <c r="P5" s="75">
        <f>P6+P24</f>
        <v>66689000</v>
      </c>
      <c r="Q5" s="75">
        <f>Q6+Q24</f>
        <v>50660000</v>
      </c>
      <c r="R5" s="75">
        <f>R6+R24</f>
        <v>16029000</v>
      </c>
      <c r="S5" s="1042">
        <f>+R5/Q5</f>
        <v>0.31640347414133441</v>
      </c>
      <c r="T5" s="1043"/>
    </row>
    <row r="6" spans="1:20" s="915" customFormat="1" ht="15" customHeight="1">
      <c r="A6" s="78"/>
      <c r="B6" s="181" t="s">
        <v>953</v>
      </c>
      <c r="C6" s="184"/>
      <c r="D6" s="184"/>
      <c r="E6" s="184"/>
      <c r="F6" s="184"/>
      <c r="G6" s="183"/>
      <c r="H6" s="184"/>
      <c r="I6" s="184"/>
      <c r="J6" s="184"/>
      <c r="K6" s="184"/>
      <c r="L6" s="184"/>
      <c r="M6" s="184"/>
      <c r="N6" s="186"/>
      <c r="O6" s="184"/>
      <c r="P6" s="187">
        <f>SUM(P7,P11)</f>
        <v>66679000</v>
      </c>
      <c r="Q6" s="187">
        <f>SUM(Q7,Q11)</f>
        <v>49260000</v>
      </c>
      <c r="R6" s="187">
        <f>+P6-Q6</f>
        <v>17419000</v>
      </c>
      <c r="S6" s="424">
        <f>+R6/Q6</f>
        <v>0.35361347949654892</v>
      </c>
    </row>
    <row r="7" spans="1:20" s="915" customFormat="1" ht="15" customHeight="1">
      <c r="A7" s="78"/>
      <c r="B7" s="79"/>
      <c r="C7" s="174" t="s">
        <v>954</v>
      </c>
      <c r="D7" s="174"/>
      <c r="E7" s="174"/>
      <c r="F7" s="174"/>
      <c r="G7" s="176"/>
      <c r="H7" s="174"/>
      <c r="I7" s="174"/>
      <c r="J7" s="174"/>
      <c r="K7" s="174"/>
      <c r="L7" s="174"/>
      <c r="M7" s="174"/>
      <c r="N7" s="67"/>
      <c r="O7" s="174"/>
      <c r="P7" s="178">
        <f>SUM(P8)</f>
        <v>1480000</v>
      </c>
      <c r="Q7" s="178">
        <f>SUM(Q8)</f>
        <v>2000000</v>
      </c>
      <c r="R7" s="178">
        <f>+P7-Q7</f>
        <v>-520000</v>
      </c>
      <c r="S7" s="179">
        <f>+R7/Q7</f>
        <v>-0.26</v>
      </c>
    </row>
    <row r="8" spans="1:20" s="915" customFormat="1" ht="15" customHeight="1">
      <c r="A8" s="78"/>
      <c r="B8" s="81"/>
      <c r="C8" s="82"/>
      <c r="D8" s="173" t="s">
        <v>955</v>
      </c>
      <c r="E8" s="174"/>
      <c r="F8" s="174"/>
      <c r="G8" s="176"/>
      <c r="H8" s="174"/>
      <c r="I8" s="174"/>
      <c r="J8" s="174"/>
      <c r="K8" s="174"/>
      <c r="L8" s="174"/>
      <c r="M8" s="174"/>
      <c r="N8" s="67"/>
      <c r="O8" s="174"/>
      <c r="P8" s="178">
        <f>SUM(P9:P10)</f>
        <v>1480000</v>
      </c>
      <c r="Q8" s="178">
        <f>SUM(Q9:Q10)</f>
        <v>2000000</v>
      </c>
      <c r="R8" s="178">
        <f>+P8-Q8</f>
        <v>-520000</v>
      </c>
      <c r="S8" s="179">
        <f>+R8/Q8</f>
        <v>-0.26</v>
      </c>
    </row>
    <row r="9" spans="1:20" ht="15" customHeight="1">
      <c r="A9" s="88"/>
      <c r="B9" s="89"/>
      <c r="C9" s="90"/>
      <c r="D9" s="170"/>
      <c r="E9" s="510" t="s">
        <v>956</v>
      </c>
      <c r="F9" s="510"/>
      <c r="G9" s="511"/>
      <c r="H9" s="510"/>
      <c r="I9" s="510"/>
      <c r="J9" s="510"/>
      <c r="K9" s="510"/>
      <c r="L9" s="510"/>
      <c r="M9" s="510"/>
      <c r="N9" s="513"/>
      <c r="O9" s="510"/>
      <c r="P9" s="171">
        <f>ROUNDUP((O10),-3)</f>
        <v>1480000</v>
      </c>
      <c r="Q9" s="171">
        <v>2000000</v>
      </c>
      <c r="R9" s="171">
        <f>+P9-Q9</f>
        <v>-520000</v>
      </c>
      <c r="S9" s="172">
        <f>+R9/Q9</f>
        <v>-0.26</v>
      </c>
    </row>
    <row r="10" spans="1:20" ht="15" customHeight="1">
      <c r="A10" s="88"/>
      <c r="B10" s="89"/>
      <c r="C10" s="90"/>
      <c r="D10" s="562"/>
      <c r="E10" s="106"/>
      <c r="F10" s="106" t="s">
        <v>957</v>
      </c>
      <c r="G10" s="121">
        <v>1480000</v>
      </c>
      <c r="H10" s="106" t="s">
        <v>958</v>
      </c>
      <c r="I10" s="950">
        <v>1</v>
      </c>
      <c r="J10" s="106"/>
      <c r="K10" s="108"/>
      <c r="L10" s="106"/>
      <c r="M10" s="106"/>
      <c r="N10" s="110" t="s">
        <v>959</v>
      </c>
      <c r="O10" s="111">
        <f>G10*I10</f>
        <v>1480000</v>
      </c>
      <c r="P10" s="112"/>
      <c r="Q10" s="131"/>
      <c r="R10" s="112"/>
      <c r="S10" s="113"/>
    </row>
    <row r="11" spans="1:20" s="915" customFormat="1" ht="15" customHeight="1">
      <c r="A11" s="78"/>
      <c r="B11" s="81"/>
      <c r="C11" s="174" t="s">
        <v>960</v>
      </c>
      <c r="D11" s="173"/>
      <c r="E11" s="174"/>
      <c r="F11" s="174"/>
      <c r="G11" s="176"/>
      <c r="H11" s="174"/>
      <c r="I11" s="174"/>
      <c r="J11" s="174"/>
      <c r="K11" s="174"/>
      <c r="L11" s="174"/>
      <c r="M11" s="174"/>
      <c r="N11" s="67"/>
      <c r="O11" s="174"/>
      <c r="P11" s="178">
        <f>P12+P20</f>
        <v>65199000</v>
      </c>
      <c r="Q11" s="178">
        <f>SUM(Q12,Q16,Q20)</f>
        <v>47260000</v>
      </c>
      <c r="R11" s="178">
        <f>+P11-Q11</f>
        <v>17939000</v>
      </c>
      <c r="S11" s="179">
        <f>+R11/Q11</f>
        <v>0.37958104104951335</v>
      </c>
    </row>
    <row r="12" spans="1:20" s="915" customFormat="1" ht="15" customHeight="1">
      <c r="A12" s="78"/>
      <c r="B12" s="81"/>
      <c r="C12" s="82"/>
      <c r="D12" s="173" t="s">
        <v>961</v>
      </c>
      <c r="E12" s="174"/>
      <c r="F12" s="174"/>
      <c r="G12" s="176"/>
      <c r="H12" s="174"/>
      <c r="I12" s="174"/>
      <c r="J12" s="174"/>
      <c r="K12" s="174"/>
      <c r="L12" s="174"/>
      <c r="M12" s="174"/>
      <c r="N12" s="67"/>
      <c r="O12" s="174"/>
      <c r="P12" s="178">
        <f>P13</f>
        <v>10000</v>
      </c>
      <c r="Q12" s="178">
        <f>SUM(Q13:Q15)</f>
        <v>10000</v>
      </c>
      <c r="R12" s="178">
        <f>+P12-Q12</f>
        <v>0</v>
      </c>
      <c r="S12" s="179">
        <f>+R12/Q12</f>
        <v>0</v>
      </c>
    </row>
    <row r="13" spans="1:20" ht="15" customHeight="1">
      <c r="A13" s="88"/>
      <c r="B13" s="89"/>
      <c r="C13" s="90"/>
      <c r="D13" s="170"/>
      <c r="E13" s="510" t="s">
        <v>612</v>
      </c>
      <c r="F13" s="510"/>
      <c r="G13" s="511"/>
      <c r="H13" s="510"/>
      <c r="I13" s="510"/>
      <c r="J13" s="510"/>
      <c r="K13" s="510"/>
      <c r="L13" s="510"/>
      <c r="M13" s="510"/>
      <c r="N13" s="513"/>
      <c r="O13" s="510"/>
      <c r="P13" s="171">
        <f>ROUNDUP(O14,-3)</f>
        <v>10000</v>
      </c>
      <c r="Q13" s="171">
        <v>10000</v>
      </c>
      <c r="R13" s="171">
        <f>+P13-Q13</f>
        <v>0</v>
      </c>
      <c r="S13" s="172">
        <f>+R13/Q13</f>
        <v>0</v>
      </c>
    </row>
    <row r="14" spans="1:20" ht="15" customHeight="1">
      <c r="A14" s="88"/>
      <c r="B14" s="89"/>
      <c r="C14" s="90"/>
      <c r="D14" s="89"/>
      <c r="E14" s="106"/>
      <c r="F14" s="106" t="s">
        <v>962</v>
      </c>
      <c r="G14" s="123"/>
      <c r="H14" s="106"/>
      <c r="I14" s="106"/>
      <c r="J14" s="106"/>
      <c r="K14" s="106"/>
      <c r="L14" s="106"/>
      <c r="M14" s="106"/>
      <c r="N14" s="110"/>
      <c r="O14" s="125">
        <f>SUM(O15)</f>
        <v>10000</v>
      </c>
      <c r="P14" s="112"/>
      <c r="Q14" s="131"/>
      <c r="R14" s="112"/>
      <c r="S14" s="113"/>
    </row>
    <row r="15" spans="1:20" ht="15" customHeight="1">
      <c r="A15" s="88"/>
      <c r="B15" s="89"/>
      <c r="C15" s="90"/>
      <c r="D15" s="562"/>
      <c r="E15" s="132"/>
      <c r="F15" s="132" t="s">
        <v>963</v>
      </c>
      <c r="G15" s="121">
        <v>10000</v>
      </c>
      <c r="H15" s="106" t="s">
        <v>282</v>
      </c>
      <c r="I15" s="950">
        <v>1</v>
      </c>
      <c r="J15" s="106"/>
      <c r="K15" s="108"/>
      <c r="L15" s="106"/>
      <c r="M15" s="106"/>
      <c r="N15" s="110" t="s">
        <v>959</v>
      </c>
      <c r="O15" s="111">
        <f>G15*I15</f>
        <v>10000</v>
      </c>
      <c r="P15" s="112"/>
      <c r="Q15" s="131"/>
      <c r="R15" s="112"/>
      <c r="S15" s="113"/>
    </row>
    <row r="16" spans="1:20" s="915" customFormat="1" ht="15" customHeight="1">
      <c r="A16" s="78"/>
      <c r="B16" s="81"/>
      <c r="C16" s="82"/>
      <c r="D16" s="173" t="s">
        <v>964</v>
      </c>
      <c r="E16" s="174"/>
      <c r="F16" s="174"/>
      <c r="G16" s="176"/>
      <c r="H16" s="174"/>
      <c r="I16" s="174"/>
      <c r="J16" s="174"/>
      <c r="K16" s="174"/>
      <c r="L16" s="174"/>
      <c r="M16" s="174"/>
      <c r="N16" s="67"/>
      <c r="O16" s="174"/>
      <c r="P16" s="178">
        <v>0</v>
      </c>
      <c r="Q16" s="178">
        <v>0</v>
      </c>
      <c r="R16" s="178">
        <v>0</v>
      </c>
      <c r="S16" s="179">
        <v>0</v>
      </c>
    </row>
    <row r="17" spans="1:19" ht="15" customHeight="1">
      <c r="A17" s="88"/>
      <c r="B17" s="89"/>
      <c r="C17" s="90"/>
      <c r="D17" s="89"/>
      <c r="E17" s="514" t="s">
        <v>965</v>
      </c>
      <c r="F17" s="510"/>
      <c r="G17" s="511"/>
      <c r="H17" s="510"/>
      <c r="I17" s="510"/>
      <c r="J17" s="510"/>
      <c r="K17" s="510"/>
      <c r="L17" s="510"/>
      <c r="M17" s="510"/>
      <c r="N17" s="513"/>
      <c r="O17" s="510"/>
      <c r="P17" s="171">
        <v>0</v>
      </c>
      <c r="Q17" s="171">
        <v>0</v>
      </c>
      <c r="R17" s="171">
        <v>0</v>
      </c>
      <c r="S17" s="172">
        <v>0</v>
      </c>
    </row>
    <row r="18" spans="1:19" s="916" customFormat="1" ht="15" hidden="1" customHeight="1">
      <c r="A18" s="134"/>
      <c r="B18" s="89"/>
      <c r="C18" s="90"/>
      <c r="D18" s="89"/>
      <c r="E18" s="90"/>
      <c r="F18" s="90" t="s">
        <v>966</v>
      </c>
      <c r="G18" s="97"/>
      <c r="H18" s="90"/>
      <c r="I18" s="90"/>
      <c r="J18" s="90"/>
      <c r="K18" s="90"/>
      <c r="L18" s="90"/>
      <c r="M18" s="90"/>
      <c r="N18" s="99"/>
      <c r="O18" s="100">
        <f>SUM(O19:O19)</f>
        <v>0</v>
      </c>
      <c r="P18" s="101"/>
      <c r="Q18" s="131"/>
      <c r="R18" s="101"/>
      <c r="S18" s="140"/>
    </row>
    <row r="19" spans="1:19" s="916" customFormat="1" ht="15" hidden="1" customHeight="1">
      <c r="A19" s="134"/>
      <c r="B19" s="89"/>
      <c r="C19" s="90"/>
      <c r="D19" s="562"/>
      <c r="E19" s="122"/>
      <c r="F19" s="122" t="s">
        <v>967</v>
      </c>
      <c r="G19" s="136"/>
      <c r="H19" s="90" t="s">
        <v>958</v>
      </c>
      <c r="I19" s="155"/>
      <c r="J19" s="90"/>
      <c r="K19" s="137"/>
      <c r="L19" s="90"/>
      <c r="M19" s="90"/>
      <c r="N19" s="99" t="s">
        <v>959</v>
      </c>
      <c r="O19" s="139">
        <f>G19*I19</f>
        <v>0</v>
      </c>
      <c r="P19" s="101"/>
      <c r="Q19" s="131"/>
      <c r="R19" s="101"/>
      <c r="S19" s="140"/>
    </row>
    <row r="20" spans="1:19" s="915" customFormat="1" ht="15" customHeight="1">
      <c r="A20" s="78"/>
      <c r="B20" s="81"/>
      <c r="C20" s="82"/>
      <c r="D20" s="173" t="s">
        <v>968</v>
      </c>
      <c r="E20" s="174"/>
      <c r="F20" s="174"/>
      <c r="G20" s="176"/>
      <c r="H20" s="174"/>
      <c r="I20" s="174"/>
      <c r="J20" s="174"/>
      <c r="K20" s="174"/>
      <c r="L20" s="174"/>
      <c r="M20" s="174"/>
      <c r="N20" s="67"/>
      <c r="O20" s="174"/>
      <c r="P20" s="178">
        <f>SUM(P21:P23)</f>
        <v>65189000</v>
      </c>
      <c r="Q20" s="178">
        <f>Q21</f>
        <v>47250000</v>
      </c>
      <c r="R20" s="178">
        <f>+P20-Q20</f>
        <v>17939000</v>
      </c>
      <c r="S20" s="179">
        <f>+R20/Q20</f>
        <v>0.37966137566137564</v>
      </c>
    </row>
    <row r="21" spans="1:19" ht="15" customHeight="1">
      <c r="A21" s="88"/>
      <c r="B21" s="89"/>
      <c r="C21" s="90"/>
      <c r="D21" s="170"/>
      <c r="E21" s="514" t="s">
        <v>969</v>
      </c>
      <c r="F21" s="510"/>
      <c r="G21" s="511"/>
      <c r="H21" s="510"/>
      <c r="I21" s="510"/>
      <c r="J21" s="510"/>
      <c r="K21" s="510"/>
      <c r="L21" s="510"/>
      <c r="M21" s="510"/>
      <c r="N21" s="513"/>
      <c r="O21" s="510"/>
      <c r="P21" s="171">
        <f>ROUNDUP(O22,-3)</f>
        <v>65189000</v>
      </c>
      <c r="Q21" s="171">
        <v>47250000</v>
      </c>
      <c r="R21" s="171">
        <f>+P21-Q21</f>
        <v>17939000</v>
      </c>
      <c r="S21" s="172">
        <f>+R21/Q21</f>
        <v>0.37966137566137564</v>
      </c>
    </row>
    <row r="22" spans="1:19" ht="15" customHeight="1">
      <c r="A22" s="88"/>
      <c r="B22" s="89"/>
      <c r="C22" s="90"/>
      <c r="D22" s="89"/>
      <c r="E22" s="106"/>
      <c r="F22" s="82" t="s">
        <v>970</v>
      </c>
      <c r="G22" s="1026"/>
      <c r="H22" s="82"/>
      <c r="I22" s="82"/>
      <c r="J22" s="82"/>
      <c r="K22" s="82"/>
      <c r="L22" s="82"/>
      <c r="M22" s="82"/>
      <c r="N22" s="1044"/>
      <c r="O22" s="1045">
        <f>SUM(O23:O23)</f>
        <v>65189000</v>
      </c>
      <c r="P22" s="112"/>
      <c r="Q22" s="1046"/>
      <c r="R22" s="112"/>
      <c r="S22" s="113"/>
    </row>
    <row r="23" spans="1:19" ht="15" customHeight="1">
      <c r="A23" s="88"/>
      <c r="B23" s="89"/>
      <c r="C23" s="90"/>
      <c r="D23" s="562"/>
      <c r="E23" s="132"/>
      <c r="F23" s="1047" t="s">
        <v>2408</v>
      </c>
      <c r="G23" s="1048">
        <v>65189000</v>
      </c>
      <c r="H23" s="82" t="s">
        <v>277</v>
      </c>
      <c r="I23" s="1049">
        <v>1</v>
      </c>
      <c r="J23" s="82"/>
      <c r="K23" s="1050"/>
      <c r="L23" s="82"/>
      <c r="M23" s="82"/>
      <c r="N23" s="1044" t="s">
        <v>959</v>
      </c>
      <c r="O23" s="1051">
        <f>G23*I23</f>
        <v>65189000</v>
      </c>
      <c r="P23" s="112"/>
      <c r="Q23" s="1052"/>
      <c r="R23" s="112"/>
      <c r="S23" s="113"/>
    </row>
    <row r="24" spans="1:19" s="915" customFormat="1" ht="15" customHeight="1">
      <c r="A24" s="78"/>
      <c r="B24" s="173" t="s">
        <v>971</v>
      </c>
      <c r="C24" s="174"/>
      <c r="D24" s="174"/>
      <c r="E24" s="174"/>
      <c r="F24" s="174"/>
      <c r="G24" s="176"/>
      <c r="H24" s="174"/>
      <c r="I24" s="174"/>
      <c r="J24" s="174"/>
      <c r="K24" s="174"/>
      <c r="L24" s="174"/>
      <c r="M24" s="174"/>
      <c r="N24" s="67"/>
      <c r="O24" s="174"/>
      <c r="P24" s="178">
        <f>P25</f>
        <v>10000</v>
      </c>
      <c r="Q24" s="178">
        <f>Q25</f>
        <v>1400000</v>
      </c>
      <c r="R24" s="178">
        <f>+P24-Q24</f>
        <v>-1390000</v>
      </c>
      <c r="S24" s="179">
        <f>+R24/Q24</f>
        <v>-0.99285714285714288</v>
      </c>
    </row>
    <row r="25" spans="1:19" ht="15" customHeight="1">
      <c r="A25" s="88"/>
      <c r="B25" s="81"/>
      <c r="C25" s="174" t="s">
        <v>623</v>
      </c>
      <c r="D25" s="173"/>
      <c r="E25" s="174"/>
      <c r="F25" s="174"/>
      <c r="G25" s="176"/>
      <c r="H25" s="174"/>
      <c r="I25" s="174"/>
      <c r="J25" s="174"/>
      <c r="K25" s="174"/>
      <c r="L25" s="174"/>
      <c r="M25" s="174"/>
      <c r="N25" s="67"/>
      <c r="O25" s="174"/>
      <c r="P25" s="178">
        <f>P26</f>
        <v>10000</v>
      </c>
      <c r="Q25" s="178">
        <f>SUM(Q26)</f>
        <v>1400000</v>
      </c>
      <c r="R25" s="178">
        <f>+P25-Q25</f>
        <v>-1390000</v>
      </c>
      <c r="S25" s="179">
        <f>+R25/Q25</f>
        <v>-0.99285714285714288</v>
      </c>
    </row>
    <row r="26" spans="1:19" ht="15" customHeight="1">
      <c r="A26" s="88"/>
      <c r="B26" s="81"/>
      <c r="C26" s="82"/>
      <c r="D26" s="173" t="s">
        <v>349</v>
      </c>
      <c r="E26" s="174"/>
      <c r="F26" s="174"/>
      <c r="G26" s="176"/>
      <c r="H26" s="174"/>
      <c r="I26" s="174"/>
      <c r="J26" s="174"/>
      <c r="K26" s="174"/>
      <c r="L26" s="174"/>
      <c r="M26" s="174"/>
      <c r="N26" s="67"/>
      <c r="O26" s="174"/>
      <c r="P26" s="178">
        <f>SUM(P27)</f>
        <v>10000</v>
      </c>
      <c r="Q26" s="178">
        <f>SUM(Q27)</f>
        <v>1400000</v>
      </c>
      <c r="R26" s="178">
        <f>+P26-Q26</f>
        <v>-1390000</v>
      </c>
      <c r="S26" s="179">
        <f>+R26/Q26</f>
        <v>-0.99285714285714288</v>
      </c>
    </row>
    <row r="27" spans="1:19" ht="15" customHeight="1">
      <c r="A27" s="88"/>
      <c r="B27" s="89"/>
      <c r="C27" s="90"/>
      <c r="D27" s="170"/>
      <c r="E27" s="514" t="s">
        <v>972</v>
      </c>
      <c r="F27" s="510"/>
      <c r="G27" s="511"/>
      <c r="H27" s="510"/>
      <c r="I27" s="510"/>
      <c r="J27" s="510"/>
      <c r="K27" s="510"/>
      <c r="L27" s="510"/>
      <c r="M27" s="510"/>
      <c r="N27" s="513"/>
      <c r="O27" s="510"/>
      <c r="P27" s="171">
        <f>O28</f>
        <v>10000</v>
      </c>
      <c r="Q27" s="171">
        <v>1400000</v>
      </c>
      <c r="R27" s="171">
        <f>+P27-Q27</f>
        <v>-1390000</v>
      </c>
      <c r="S27" s="172">
        <f>+R27/Q27</f>
        <v>-0.99285714285714288</v>
      </c>
    </row>
    <row r="28" spans="1:19" ht="15" customHeight="1">
      <c r="A28" s="88"/>
      <c r="B28" s="89"/>
      <c r="C28" s="90"/>
      <c r="D28" s="89"/>
      <c r="E28" s="106"/>
      <c r="F28" s="106" t="s">
        <v>493</v>
      </c>
      <c r="G28" s="123"/>
      <c r="H28" s="106"/>
      <c r="I28" s="106"/>
      <c r="J28" s="106"/>
      <c r="K28" s="106"/>
      <c r="L28" s="106"/>
      <c r="M28" s="106"/>
      <c r="N28" s="110"/>
      <c r="O28" s="125">
        <f>SUM(O29)</f>
        <v>10000</v>
      </c>
      <c r="P28" s="112"/>
      <c r="Q28" s="131"/>
      <c r="R28" s="112"/>
      <c r="S28" s="113"/>
    </row>
    <row r="29" spans="1:19" ht="15" customHeight="1" thickBot="1">
      <c r="A29" s="189"/>
      <c r="B29" s="190"/>
      <c r="C29" s="191"/>
      <c r="D29" s="190"/>
      <c r="E29" s="978"/>
      <c r="F29" s="978" t="s">
        <v>119</v>
      </c>
      <c r="G29" s="979">
        <v>10000</v>
      </c>
      <c r="H29" s="980" t="s">
        <v>973</v>
      </c>
      <c r="I29" s="981">
        <v>1</v>
      </c>
      <c r="J29" s="980"/>
      <c r="K29" s="982"/>
      <c r="L29" s="980"/>
      <c r="M29" s="980"/>
      <c r="N29" s="983" t="s">
        <v>2438</v>
      </c>
      <c r="O29" s="1053">
        <f>+I29*G29</f>
        <v>10000</v>
      </c>
      <c r="P29" s="985"/>
      <c r="Q29" s="986"/>
      <c r="R29" s="985"/>
      <c r="S29" s="987"/>
    </row>
    <row r="30" spans="1:19" ht="15" customHeight="1"/>
    <row r="31" spans="1:19" ht="12" customHeight="1"/>
    <row r="32" spans="1:19" ht="12" customHeight="1"/>
    <row r="33" ht="12" customHeight="1"/>
    <row r="34" ht="12" customHeight="1"/>
    <row r="35" ht="12" customHeight="1"/>
    <row r="36" ht="12" customHeight="1"/>
    <row r="37" ht="12" customHeight="1"/>
    <row r="38" ht="12" customHeight="1"/>
    <row r="39" ht="12" customHeight="1"/>
    <row r="40" ht="12" customHeight="1"/>
    <row r="41" ht="12" customHeight="1"/>
    <row r="42" ht="12" customHeight="1"/>
    <row r="43" ht="12" customHeight="1"/>
    <row r="44" ht="12" customHeight="1"/>
    <row r="45" ht="12" customHeight="1"/>
    <row r="46" ht="12" customHeight="1"/>
    <row r="47" ht="12" customHeight="1"/>
    <row r="48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</sheetData>
  <mergeCells count="8">
    <mergeCell ref="A1:S1"/>
    <mergeCell ref="R2:S2"/>
    <mergeCell ref="A3:E3"/>
    <mergeCell ref="G3:O4"/>
    <mergeCell ref="P3:P4"/>
    <mergeCell ref="Q3:Q4"/>
    <mergeCell ref="R3:R4"/>
    <mergeCell ref="S3:S4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scale="85" firstPageNumber="31" fitToHeight="0" orientation="landscape" useFirstPageNumber="1" horizontalDpi="4294967293" r:id="rId1"/>
  <headerFooter scaleWithDoc="0" alignWithMargins="0">
    <oddFooter>&amp;C&amp;P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99FF"/>
    <pageSetUpPr fitToPage="1"/>
  </sheetPr>
  <dimension ref="A1:V122"/>
  <sheetViews>
    <sheetView view="pageBreakPreview" zoomScaleNormal="85" zoomScaleSheetLayoutView="100" workbookViewId="0">
      <pane xSplit="3" ySplit="7" topLeftCell="D26" activePane="bottomRight" state="frozen"/>
      <selection activeCell="V20" sqref="V20"/>
      <selection pane="topRight" activeCell="V20" sqref="V20"/>
      <selection pane="bottomLeft" activeCell="V20" sqref="V20"/>
      <selection pane="bottomRight" activeCell="V20" sqref="V20"/>
    </sheetView>
  </sheetViews>
  <sheetFormatPr defaultColWidth="9" defaultRowHeight="13.5"/>
  <cols>
    <col min="1" max="1" width="3.625" style="196" customWidth="1"/>
    <col min="2" max="4" width="3.625" style="193" customWidth="1"/>
    <col min="5" max="5" width="10.625" style="196" customWidth="1"/>
    <col min="6" max="6" width="24.75" style="196" customWidth="1"/>
    <col min="7" max="7" width="16" style="195" bestFit="1" customWidth="1"/>
    <col min="8" max="8" width="2.125" style="196" customWidth="1"/>
    <col min="9" max="9" width="5.875" style="196" bestFit="1" customWidth="1"/>
    <col min="10" max="10" width="2.125" style="196" customWidth="1"/>
    <col min="11" max="11" width="5.375" style="196" bestFit="1" customWidth="1"/>
    <col min="12" max="12" width="2.75" style="196" customWidth="1"/>
    <col min="13" max="13" width="6.125" style="196" bestFit="1" customWidth="1"/>
    <col min="14" max="14" width="2.625" style="198" customWidth="1"/>
    <col min="15" max="15" width="16" style="195" bestFit="1" customWidth="1"/>
    <col min="16" max="16" width="10.625" style="199" customWidth="1"/>
    <col min="17" max="18" width="10.625" style="200" customWidth="1"/>
    <col min="19" max="19" width="10.625" style="289" customWidth="1"/>
    <col min="20" max="21" width="9" style="196"/>
    <col min="22" max="22" width="11.875" style="196" bestFit="1" customWidth="1"/>
    <col min="23" max="16384" width="9" style="196"/>
  </cols>
  <sheetData>
    <row r="1" spans="1:22" s="192" customFormat="1" ht="35.1" customHeight="1">
      <c r="A1" s="1968" t="s">
        <v>1868</v>
      </c>
      <c r="B1" s="1968"/>
      <c r="C1" s="1968"/>
      <c r="D1" s="1968"/>
      <c r="E1" s="1968"/>
      <c r="F1" s="1968"/>
      <c r="G1" s="1968"/>
      <c r="H1" s="1968"/>
      <c r="I1" s="1968"/>
      <c r="J1" s="1968"/>
      <c r="K1" s="1968"/>
      <c r="L1" s="1968"/>
      <c r="M1" s="1968"/>
      <c r="N1" s="1968"/>
      <c r="O1" s="1968"/>
      <c r="P1" s="1968"/>
      <c r="Q1" s="1968"/>
      <c r="R1" s="1968"/>
      <c r="S1" s="1968"/>
    </row>
    <row r="2" spans="1:22" ht="15" customHeight="1" thickBot="1">
      <c r="A2" s="192" t="s">
        <v>292</v>
      </c>
      <c r="R2" s="1969" t="s">
        <v>293</v>
      </c>
      <c r="S2" s="1969"/>
    </row>
    <row r="3" spans="1:22" s="201" customFormat="1" ht="15" customHeight="1">
      <c r="A3" s="1970" t="s">
        <v>294</v>
      </c>
      <c r="B3" s="1971"/>
      <c r="C3" s="1971"/>
      <c r="D3" s="1971"/>
      <c r="E3" s="1971"/>
      <c r="F3" s="1749"/>
      <c r="G3" s="1972" t="s">
        <v>295</v>
      </c>
      <c r="H3" s="1972"/>
      <c r="I3" s="1972"/>
      <c r="J3" s="1972"/>
      <c r="K3" s="1972"/>
      <c r="L3" s="1972"/>
      <c r="M3" s="1972"/>
      <c r="N3" s="1972"/>
      <c r="O3" s="1973"/>
      <c r="P3" s="1976" t="s">
        <v>296</v>
      </c>
      <c r="Q3" s="1978" t="s">
        <v>94</v>
      </c>
      <c r="R3" s="1980" t="s">
        <v>1869</v>
      </c>
      <c r="S3" s="1982" t="s">
        <v>1870</v>
      </c>
    </row>
    <row r="4" spans="1:22" s="201" customFormat="1" ht="15" customHeight="1" thickBot="1">
      <c r="A4" s="1750" t="s">
        <v>1871</v>
      </c>
      <c r="B4" s="1751" t="s">
        <v>357</v>
      </c>
      <c r="C4" s="1751" t="s">
        <v>1872</v>
      </c>
      <c r="D4" s="1751" t="s">
        <v>1873</v>
      </c>
      <c r="E4" s="1751" t="s">
        <v>302</v>
      </c>
      <c r="F4" s="1752" t="s">
        <v>1874</v>
      </c>
      <c r="G4" s="1974"/>
      <c r="H4" s="1974"/>
      <c r="I4" s="1974"/>
      <c r="J4" s="1974"/>
      <c r="K4" s="1974"/>
      <c r="L4" s="1974"/>
      <c r="M4" s="1974"/>
      <c r="N4" s="1974"/>
      <c r="O4" s="1975"/>
      <c r="P4" s="1977"/>
      <c r="Q4" s="1979"/>
      <c r="R4" s="1981"/>
      <c r="S4" s="1983"/>
    </row>
    <row r="5" spans="1:22" s="192" customFormat="1" ht="15" customHeight="1" thickBot="1">
      <c r="A5" s="923" t="s">
        <v>1875</v>
      </c>
      <c r="B5" s="924"/>
      <c r="C5" s="72"/>
      <c r="D5" s="72"/>
      <c r="E5" s="72"/>
      <c r="F5" s="72"/>
      <c r="G5" s="71"/>
      <c r="H5" s="72"/>
      <c r="I5" s="72"/>
      <c r="J5" s="72"/>
      <c r="K5" s="72"/>
      <c r="L5" s="72"/>
      <c r="M5" s="72"/>
      <c r="N5" s="74"/>
      <c r="O5" s="71"/>
      <c r="P5" s="75">
        <f>P6</f>
        <v>1775783000</v>
      </c>
      <c r="Q5" s="75">
        <f>Q6</f>
        <v>0</v>
      </c>
      <c r="R5" s="925">
        <f>+P5-Q5</f>
        <v>1775783000</v>
      </c>
      <c r="S5" s="203">
        <v>1</v>
      </c>
    </row>
    <row r="6" spans="1:22" s="192" customFormat="1" ht="15" customHeight="1">
      <c r="A6" s="204"/>
      <c r="B6" s="205" t="s">
        <v>1876</v>
      </c>
      <c r="C6" s="206"/>
      <c r="D6" s="206"/>
      <c r="E6" s="209"/>
      <c r="F6" s="209"/>
      <c r="G6" s="208"/>
      <c r="H6" s="209"/>
      <c r="I6" s="209"/>
      <c r="J6" s="209"/>
      <c r="K6" s="209"/>
      <c r="L6" s="209"/>
      <c r="M6" s="209"/>
      <c r="N6" s="210"/>
      <c r="O6" s="208"/>
      <c r="P6" s="211">
        <f>SUM(P7,P40)</f>
        <v>1775783000</v>
      </c>
      <c r="Q6" s="211">
        <f>SUM(Q7,Q40)</f>
        <v>0</v>
      </c>
      <c r="R6" s="211">
        <f>+P6-Q6</f>
        <v>1775783000</v>
      </c>
      <c r="S6" s="212">
        <v>1</v>
      </c>
    </row>
    <row r="7" spans="1:22" s="192" customFormat="1" ht="15" customHeight="1">
      <c r="A7" s="204"/>
      <c r="B7" s="213"/>
      <c r="C7" s="214" t="s">
        <v>1877</v>
      </c>
      <c r="D7" s="214"/>
      <c r="E7" s="217"/>
      <c r="F7" s="217"/>
      <c r="G7" s="216"/>
      <c r="H7" s="217"/>
      <c r="I7" s="217"/>
      <c r="J7" s="217"/>
      <c r="K7" s="217"/>
      <c r="L7" s="217"/>
      <c r="M7" s="217"/>
      <c r="N7" s="219"/>
      <c r="O7" s="216"/>
      <c r="P7" s="220">
        <f>SUM(P8,P27,P36)</f>
        <v>575550000</v>
      </c>
      <c r="Q7" s="220">
        <f>SUM(Q8,Q27,Q36)</f>
        <v>0</v>
      </c>
      <c r="R7" s="220">
        <f>+P7-Q7</f>
        <v>575550000</v>
      </c>
      <c r="S7" s="221">
        <v>1</v>
      </c>
    </row>
    <row r="8" spans="1:22" s="192" customFormat="1" ht="15" customHeight="1">
      <c r="A8" s="204"/>
      <c r="B8" s="222"/>
      <c r="C8" s="223"/>
      <c r="D8" s="266" t="s">
        <v>481</v>
      </c>
      <c r="E8" s="217"/>
      <c r="F8" s="217"/>
      <c r="G8" s="216"/>
      <c r="H8" s="217"/>
      <c r="I8" s="217"/>
      <c r="J8" s="217"/>
      <c r="K8" s="217"/>
      <c r="L8" s="217"/>
      <c r="M8" s="217"/>
      <c r="N8" s="219"/>
      <c r="O8" s="216"/>
      <c r="P8" s="220">
        <f>SUM(P9:P26)</f>
        <v>529550000</v>
      </c>
      <c r="Q8" s="220">
        <f>SUM(Q9:Q26)</f>
        <v>0</v>
      </c>
      <c r="R8" s="220">
        <f>+P8-Q8</f>
        <v>529550000</v>
      </c>
      <c r="S8" s="221">
        <v>1</v>
      </c>
    </row>
    <row r="9" spans="1:22" ht="15" customHeight="1">
      <c r="A9" s="224"/>
      <c r="B9" s="225"/>
      <c r="C9" s="226"/>
      <c r="D9" s="267"/>
      <c r="E9" s="66" t="s">
        <v>956</v>
      </c>
      <c r="F9" s="66"/>
      <c r="G9" s="228"/>
      <c r="H9" s="66"/>
      <c r="I9" s="66"/>
      <c r="J9" s="66"/>
      <c r="K9" s="66"/>
      <c r="L9" s="66"/>
      <c r="M9" s="66"/>
      <c r="N9" s="230"/>
      <c r="O9" s="228"/>
      <c r="P9" s="171">
        <f>ROUNDUP((O10+O12+O14+O16+O19),-3)</f>
        <v>387150000</v>
      </c>
      <c r="Q9" s="171">
        <v>0</v>
      </c>
      <c r="R9" s="171">
        <f>+P9-Q9</f>
        <v>387150000</v>
      </c>
      <c r="S9" s="172">
        <v>1</v>
      </c>
    </row>
    <row r="10" spans="1:22" ht="15" customHeight="1">
      <c r="A10" s="224"/>
      <c r="B10" s="225"/>
      <c r="C10" s="226"/>
      <c r="D10" s="225"/>
      <c r="E10" s="1054"/>
      <c r="F10" s="106" t="s">
        <v>1878</v>
      </c>
      <c r="G10" s="111"/>
      <c r="H10" s="111"/>
      <c r="I10" s="111"/>
      <c r="J10" s="111"/>
      <c r="K10" s="106"/>
      <c r="L10" s="106"/>
      <c r="M10" s="106"/>
      <c r="N10" s="106"/>
      <c r="O10" s="938">
        <f>O11</f>
        <v>63000000</v>
      </c>
      <c r="P10" s="235"/>
      <c r="Q10" s="997"/>
      <c r="R10" s="235"/>
      <c r="S10" s="246"/>
    </row>
    <row r="11" spans="1:22" ht="15" customHeight="1">
      <c r="A11" s="224"/>
      <c r="B11" s="225"/>
      <c r="C11" s="226"/>
      <c r="D11" s="225"/>
      <c r="E11" s="1055"/>
      <c r="F11" s="106" t="s">
        <v>1879</v>
      </c>
      <c r="G11" s="123">
        <v>36000</v>
      </c>
      <c r="H11" s="106" t="s">
        <v>1880</v>
      </c>
      <c r="I11" s="1056">
        <v>7</v>
      </c>
      <c r="J11" s="106" t="s">
        <v>282</v>
      </c>
      <c r="K11" s="937">
        <v>25</v>
      </c>
      <c r="L11" s="106" t="s">
        <v>1881</v>
      </c>
      <c r="M11" s="108">
        <v>10</v>
      </c>
      <c r="N11" s="110" t="s">
        <v>1882</v>
      </c>
      <c r="O11" s="1057">
        <f>G11*I11*K11*M11</f>
        <v>63000000</v>
      </c>
      <c r="P11" s="235"/>
      <c r="Q11" s="997"/>
      <c r="R11" s="235"/>
      <c r="S11" s="246"/>
    </row>
    <row r="12" spans="1:22" ht="15" customHeight="1">
      <c r="A12" s="224"/>
      <c r="B12" s="225"/>
      <c r="C12" s="226"/>
      <c r="D12" s="225"/>
      <c r="E12" s="1055"/>
      <c r="F12" s="106" t="s">
        <v>1883</v>
      </c>
      <c r="G12" s="123"/>
      <c r="H12" s="106"/>
      <c r="I12" s="111"/>
      <c r="J12" s="106"/>
      <c r="K12" s="106"/>
      <c r="L12" s="106"/>
      <c r="M12" s="106"/>
      <c r="N12" s="106"/>
      <c r="O12" s="938">
        <f>O13</f>
        <v>129500000</v>
      </c>
      <c r="P12" s="235"/>
      <c r="Q12" s="997"/>
      <c r="R12" s="235"/>
      <c r="S12" s="246"/>
      <c r="V12" s="275"/>
    </row>
    <row r="13" spans="1:22" ht="15" customHeight="1">
      <c r="A13" s="224"/>
      <c r="B13" s="225"/>
      <c r="C13" s="226"/>
      <c r="D13" s="225"/>
      <c r="E13" s="1055"/>
      <c r="F13" s="106" t="s">
        <v>309</v>
      </c>
      <c r="G13" s="123">
        <v>35000</v>
      </c>
      <c r="H13" s="106" t="s">
        <v>282</v>
      </c>
      <c r="I13" s="1056">
        <v>10</v>
      </c>
      <c r="J13" s="106" t="s">
        <v>1880</v>
      </c>
      <c r="K13" s="937">
        <v>37</v>
      </c>
      <c r="L13" s="106" t="s">
        <v>282</v>
      </c>
      <c r="M13" s="108">
        <v>10</v>
      </c>
      <c r="N13" s="110" t="s">
        <v>1882</v>
      </c>
      <c r="O13" s="1057">
        <f>G13*I13*K13*M13</f>
        <v>129500000</v>
      </c>
      <c r="P13" s="235"/>
      <c r="Q13" s="997"/>
      <c r="R13" s="235"/>
      <c r="S13" s="246"/>
    </row>
    <row r="14" spans="1:22" ht="15" customHeight="1">
      <c r="A14" s="224"/>
      <c r="B14" s="225"/>
      <c r="C14" s="226"/>
      <c r="D14" s="225"/>
      <c r="E14" s="1055"/>
      <c r="F14" s="106" t="s">
        <v>312</v>
      </c>
      <c r="G14" s="123"/>
      <c r="H14" s="106"/>
      <c r="I14" s="106"/>
      <c r="J14" s="106"/>
      <c r="K14" s="106"/>
      <c r="L14" s="106"/>
      <c r="M14" s="106"/>
      <c r="N14" s="106"/>
      <c r="O14" s="938">
        <f>O15</f>
        <v>92400000</v>
      </c>
      <c r="P14" s="235"/>
      <c r="Q14" s="997"/>
      <c r="R14" s="235"/>
      <c r="S14" s="246"/>
    </row>
    <row r="15" spans="1:22" ht="15" customHeight="1">
      <c r="A15" s="224"/>
      <c r="B15" s="225"/>
      <c r="C15" s="226"/>
      <c r="D15" s="225"/>
      <c r="E15" s="1055"/>
      <c r="F15" s="106" t="s">
        <v>1884</v>
      </c>
      <c r="G15" s="123">
        <v>35000</v>
      </c>
      <c r="H15" s="106" t="s">
        <v>282</v>
      </c>
      <c r="I15" s="1056">
        <v>12</v>
      </c>
      <c r="J15" s="106" t="s">
        <v>1881</v>
      </c>
      <c r="K15" s="937">
        <v>22</v>
      </c>
      <c r="L15" s="106" t="s">
        <v>1880</v>
      </c>
      <c r="M15" s="108">
        <v>10</v>
      </c>
      <c r="N15" s="110" t="s">
        <v>281</v>
      </c>
      <c r="O15" s="1057">
        <f>G15*I15*K15*M15</f>
        <v>92400000</v>
      </c>
      <c r="P15" s="235"/>
      <c r="Q15" s="997"/>
      <c r="R15" s="235"/>
      <c r="S15" s="246"/>
      <c r="V15" s="236"/>
    </row>
    <row r="16" spans="1:22" ht="15" customHeight="1">
      <c r="A16" s="224"/>
      <c r="B16" s="225"/>
      <c r="C16" s="226"/>
      <c r="D16" s="225"/>
      <c r="E16" s="1055"/>
      <c r="F16" s="106" t="s">
        <v>1885</v>
      </c>
      <c r="G16" s="123"/>
      <c r="H16" s="106"/>
      <c r="I16" s="1056"/>
      <c r="J16" s="106"/>
      <c r="K16" s="937"/>
      <c r="L16" s="106"/>
      <c r="M16" s="108"/>
      <c r="N16" s="110"/>
      <c r="O16" s="938">
        <f>SUM(O17:O18)</f>
        <v>55000000</v>
      </c>
      <c r="P16" s="235"/>
      <c r="Q16" s="997"/>
      <c r="R16" s="235"/>
      <c r="S16" s="246"/>
    </row>
    <row r="17" spans="1:22" ht="15" customHeight="1">
      <c r="A17" s="224"/>
      <c r="B17" s="225"/>
      <c r="C17" s="226"/>
      <c r="D17" s="225"/>
      <c r="E17" s="1055"/>
      <c r="F17" s="132" t="s">
        <v>326</v>
      </c>
      <c r="G17" s="121">
        <v>20000</v>
      </c>
      <c r="H17" s="106" t="s">
        <v>1881</v>
      </c>
      <c r="I17" s="107">
        <v>110</v>
      </c>
      <c r="J17" s="106" t="s">
        <v>282</v>
      </c>
      <c r="K17" s="937">
        <v>1</v>
      </c>
      <c r="L17" s="106" t="s">
        <v>1881</v>
      </c>
      <c r="M17" s="108">
        <v>10</v>
      </c>
      <c r="N17" s="110" t="s">
        <v>281</v>
      </c>
      <c r="O17" s="123">
        <f t="shared" ref="O17:O18" si="0">G17*I17*K17*M17</f>
        <v>22000000</v>
      </c>
      <c r="P17" s="235"/>
      <c r="Q17" s="997"/>
      <c r="R17" s="235"/>
      <c r="S17" s="246"/>
    </row>
    <row r="18" spans="1:22" ht="15" customHeight="1">
      <c r="A18" s="224"/>
      <c r="B18" s="225"/>
      <c r="C18" s="226"/>
      <c r="D18" s="225"/>
      <c r="E18" s="1055"/>
      <c r="F18" s="132" t="s">
        <v>1886</v>
      </c>
      <c r="G18" s="121">
        <v>30000</v>
      </c>
      <c r="H18" s="106" t="s">
        <v>282</v>
      </c>
      <c r="I18" s="107">
        <v>110</v>
      </c>
      <c r="J18" s="106" t="s">
        <v>1881</v>
      </c>
      <c r="K18" s="937">
        <v>1</v>
      </c>
      <c r="L18" s="106" t="s">
        <v>282</v>
      </c>
      <c r="M18" s="108">
        <v>10</v>
      </c>
      <c r="N18" s="110" t="s">
        <v>281</v>
      </c>
      <c r="O18" s="123">
        <f t="shared" si="0"/>
        <v>33000000</v>
      </c>
      <c r="P18" s="235"/>
      <c r="Q18" s="997"/>
      <c r="R18" s="235"/>
      <c r="S18" s="246"/>
    </row>
    <row r="19" spans="1:22" ht="15" customHeight="1">
      <c r="A19" s="224"/>
      <c r="B19" s="225"/>
      <c r="C19" s="226"/>
      <c r="D19" s="225"/>
      <c r="E19" s="1055"/>
      <c r="F19" s="106" t="s">
        <v>1887</v>
      </c>
      <c r="G19" s="123"/>
      <c r="H19" s="106"/>
      <c r="I19" s="106"/>
      <c r="J19" s="106"/>
      <c r="K19" s="106"/>
      <c r="L19" s="106"/>
      <c r="M19" s="106"/>
      <c r="N19" s="106"/>
      <c r="O19" s="938">
        <f>O20</f>
        <v>47250000</v>
      </c>
      <c r="P19" s="235"/>
      <c r="Q19" s="997"/>
      <c r="R19" s="235"/>
      <c r="S19" s="246"/>
    </row>
    <row r="20" spans="1:22" ht="15" customHeight="1">
      <c r="A20" s="224"/>
      <c r="B20" s="225"/>
      <c r="C20" s="226"/>
      <c r="D20" s="225"/>
      <c r="E20" s="1055"/>
      <c r="F20" s="106" t="s">
        <v>315</v>
      </c>
      <c r="G20" s="123">
        <v>35000</v>
      </c>
      <c r="H20" s="106" t="s">
        <v>282</v>
      </c>
      <c r="I20" s="1056">
        <v>9</v>
      </c>
      <c r="J20" s="106" t="s">
        <v>1881</v>
      </c>
      <c r="K20" s="937">
        <v>15</v>
      </c>
      <c r="L20" s="106" t="s">
        <v>1881</v>
      </c>
      <c r="M20" s="108">
        <v>10</v>
      </c>
      <c r="N20" s="110" t="s">
        <v>281</v>
      </c>
      <c r="O20" s="1057">
        <f>G20*I20*K20*M20</f>
        <v>47250000</v>
      </c>
      <c r="P20" s="235"/>
      <c r="Q20" s="997"/>
      <c r="R20" s="235"/>
      <c r="S20" s="246"/>
    </row>
    <row r="21" spans="1:22" ht="15" customHeight="1">
      <c r="A21" s="224"/>
      <c r="B21" s="225"/>
      <c r="C21" s="226"/>
      <c r="D21" s="225"/>
      <c r="E21" s="66" t="s">
        <v>1888</v>
      </c>
      <c r="F21" s="66"/>
      <c r="G21" s="228"/>
      <c r="H21" s="66"/>
      <c r="I21" s="66"/>
      <c r="J21" s="66"/>
      <c r="K21" s="66"/>
      <c r="L21" s="66"/>
      <c r="M21" s="66"/>
      <c r="N21" s="230"/>
      <c r="O21" s="228"/>
      <c r="P21" s="171">
        <f>SUM(O22:O26)</f>
        <v>142400000</v>
      </c>
      <c r="Q21" s="171">
        <v>0</v>
      </c>
      <c r="R21" s="171">
        <f>+P21-Q21</f>
        <v>142400000</v>
      </c>
      <c r="S21" s="172">
        <v>1</v>
      </c>
    </row>
    <row r="22" spans="1:22" ht="15" customHeight="1">
      <c r="A22" s="224"/>
      <c r="B22" s="225"/>
      <c r="C22" s="226"/>
      <c r="D22" s="225"/>
      <c r="E22" s="240"/>
      <c r="F22" s="240" t="s">
        <v>708</v>
      </c>
      <c r="G22" s="249">
        <v>30000</v>
      </c>
      <c r="H22" s="240" t="s">
        <v>109</v>
      </c>
      <c r="I22" s="241">
        <v>30</v>
      </c>
      <c r="J22" s="240"/>
      <c r="K22" s="240"/>
      <c r="L22" s="240"/>
      <c r="M22" s="240"/>
      <c r="N22" s="244" t="s">
        <v>110</v>
      </c>
      <c r="O22" s="249">
        <f>G22*I22</f>
        <v>900000</v>
      </c>
      <c r="P22" s="235"/>
      <c r="Q22" s="997"/>
      <c r="R22" s="235"/>
      <c r="S22" s="246"/>
      <c r="V22" s="275"/>
    </row>
    <row r="23" spans="1:22" ht="15" customHeight="1">
      <c r="A23" s="224"/>
      <c r="B23" s="225"/>
      <c r="C23" s="226"/>
      <c r="D23" s="225"/>
      <c r="E23" s="240"/>
      <c r="F23" s="240" t="s">
        <v>336</v>
      </c>
      <c r="G23" s="249">
        <v>1000000</v>
      </c>
      <c r="H23" s="240" t="s">
        <v>109</v>
      </c>
      <c r="I23" s="256">
        <v>10</v>
      </c>
      <c r="J23" s="240"/>
      <c r="K23" s="256"/>
      <c r="L23" s="240"/>
      <c r="M23" s="240"/>
      <c r="N23" s="244" t="s">
        <v>110</v>
      </c>
      <c r="O23" s="249">
        <f>+I23*G23</f>
        <v>10000000</v>
      </c>
      <c r="P23" s="235"/>
      <c r="Q23" s="997"/>
      <c r="R23" s="235"/>
      <c r="S23" s="246"/>
    </row>
    <row r="24" spans="1:22" ht="15" customHeight="1">
      <c r="A24" s="224"/>
      <c r="B24" s="225"/>
      <c r="C24" s="226"/>
      <c r="D24" s="225"/>
      <c r="E24" s="240"/>
      <c r="F24" s="240" t="s">
        <v>1889</v>
      </c>
      <c r="G24" s="249">
        <v>50000</v>
      </c>
      <c r="H24" s="240" t="s">
        <v>109</v>
      </c>
      <c r="I24" s="241">
        <v>30</v>
      </c>
      <c r="J24" s="240"/>
      <c r="K24" s="256"/>
      <c r="L24" s="240"/>
      <c r="M24" s="240"/>
      <c r="N24" s="244" t="s">
        <v>110</v>
      </c>
      <c r="O24" s="249">
        <f>+I24*G24</f>
        <v>1500000</v>
      </c>
      <c r="P24" s="235"/>
      <c r="Q24" s="997"/>
      <c r="R24" s="235"/>
      <c r="S24" s="246"/>
    </row>
    <row r="25" spans="1:22" ht="15" customHeight="1">
      <c r="A25" s="224"/>
      <c r="B25" s="225"/>
      <c r="C25" s="226"/>
      <c r="D25" s="225"/>
      <c r="E25" s="240"/>
      <c r="F25" s="240" t="s">
        <v>1890</v>
      </c>
      <c r="G25" s="249">
        <v>4000000</v>
      </c>
      <c r="H25" s="240" t="s">
        <v>109</v>
      </c>
      <c r="I25" s="241">
        <v>30</v>
      </c>
      <c r="J25" s="240"/>
      <c r="K25" s="256"/>
      <c r="L25" s="240"/>
      <c r="M25" s="240"/>
      <c r="N25" s="244" t="s">
        <v>110</v>
      </c>
      <c r="O25" s="249">
        <f>+I25*G25</f>
        <v>120000000</v>
      </c>
      <c r="P25" s="235"/>
      <c r="Q25" s="997"/>
      <c r="R25" s="235"/>
      <c r="S25" s="246"/>
    </row>
    <row r="26" spans="1:22" ht="15" customHeight="1">
      <c r="A26" s="224"/>
      <c r="B26" s="225"/>
      <c r="C26" s="226"/>
      <c r="D26" s="225"/>
      <c r="E26" s="240"/>
      <c r="F26" s="240" t="s">
        <v>1891</v>
      </c>
      <c r="G26" s="249">
        <v>500000</v>
      </c>
      <c r="H26" s="240" t="s">
        <v>109</v>
      </c>
      <c r="I26" s="241">
        <v>20</v>
      </c>
      <c r="J26" s="240"/>
      <c r="K26" s="256"/>
      <c r="L26" s="240"/>
      <c r="M26" s="240"/>
      <c r="N26" s="244" t="s">
        <v>110</v>
      </c>
      <c r="O26" s="249">
        <f>+I26*G26</f>
        <v>10000000</v>
      </c>
      <c r="P26" s="235"/>
      <c r="Q26" s="997"/>
      <c r="R26" s="235"/>
      <c r="S26" s="246"/>
    </row>
    <row r="27" spans="1:22" s="192" customFormat="1" ht="15" customHeight="1">
      <c r="A27" s="204"/>
      <c r="B27" s="222"/>
      <c r="C27" s="223"/>
      <c r="D27" s="266" t="s">
        <v>1892</v>
      </c>
      <c r="E27" s="1058"/>
      <c r="F27" s="1058"/>
      <c r="G27" s="1059"/>
      <c r="H27" s="1058"/>
      <c r="I27" s="1058"/>
      <c r="J27" s="1058"/>
      <c r="K27" s="1058"/>
      <c r="L27" s="1058"/>
      <c r="M27" s="1058"/>
      <c r="N27" s="1060"/>
      <c r="O27" s="1059"/>
      <c r="P27" s="220">
        <f>SUM(P28:P35)</f>
        <v>3500000</v>
      </c>
      <c r="Q27" s="220">
        <f>SUM(Q28,Q31)</f>
        <v>0</v>
      </c>
      <c r="R27" s="220">
        <f>+P27-Q27</f>
        <v>3500000</v>
      </c>
      <c r="S27" s="221">
        <v>1</v>
      </c>
    </row>
    <row r="28" spans="1:22" ht="15" customHeight="1">
      <c r="A28" s="224"/>
      <c r="B28" s="225"/>
      <c r="C28" s="226"/>
      <c r="D28" s="267"/>
      <c r="E28" s="66" t="s">
        <v>1893</v>
      </c>
      <c r="F28" s="66"/>
      <c r="G28" s="228"/>
      <c r="H28" s="66"/>
      <c r="I28" s="66"/>
      <c r="J28" s="66"/>
      <c r="K28" s="66"/>
      <c r="L28" s="66"/>
      <c r="M28" s="66"/>
      <c r="N28" s="230"/>
      <c r="O28" s="228"/>
      <c r="P28" s="171">
        <f>ROUNDUP(O29,-3)</f>
        <v>2000000</v>
      </c>
      <c r="Q28" s="171">
        <v>0</v>
      </c>
      <c r="R28" s="171">
        <f>+P28-Q28</f>
        <v>2000000</v>
      </c>
      <c r="S28" s="172">
        <v>1</v>
      </c>
    </row>
    <row r="29" spans="1:22" ht="15" customHeight="1">
      <c r="A29" s="224"/>
      <c r="B29" s="225"/>
      <c r="C29" s="226"/>
      <c r="D29" s="225"/>
      <c r="E29" s="240"/>
      <c r="F29" s="240" t="s">
        <v>341</v>
      </c>
      <c r="G29" s="249"/>
      <c r="H29" s="240"/>
      <c r="I29" s="240"/>
      <c r="J29" s="240"/>
      <c r="K29" s="240"/>
      <c r="L29" s="240"/>
      <c r="M29" s="240"/>
      <c r="N29" s="244"/>
      <c r="O29" s="1061">
        <f>SUM(O30:O30)</f>
        <v>2000000</v>
      </c>
      <c r="P29" s="235"/>
      <c r="Q29" s="997"/>
      <c r="R29" s="235"/>
      <c r="S29" s="246"/>
    </row>
    <row r="30" spans="1:22" ht="15" customHeight="1">
      <c r="A30" s="224"/>
      <c r="B30" s="225"/>
      <c r="C30" s="226"/>
      <c r="D30" s="225"/>
      <c r="E30" s="998"/>
      <c r="F30" s="998" t="s">
        <v>342</v>
      </c>
      <c r="G30" s="252">
        <v>100000</v>
      </c>
      <c r="H30" s="240" t="s">
        <v>109</v>
      </c>
      <c r="I30" s="241">
        <v>2</v>
      </c>
      <c r="J30" s="240" t="s">
        <v>109</v>
      </c>
      <c r="K30" s="242">
        <v>10</v>
      </c>
      <c r="L30" s="240"/>
      <c r="M30" s="240"/>
      <c r="N30" s="244" t="s">
        <v>110</v>
      </c>
      <c r="O30" s="249">
        <f>G30*I30*K30</f>
        <v>2000000</v>
      </c>
      <c r="P30" s="235"/>
      <c r="Q30" s="997"/>
      <c r="R30" s="235"/>
      <c r="S30" s="246"/>
    </row>
    <row r="31" spans="1:22" ht="15" customHeight="1">
      <c r="A31" s="224"/>
      <c r="B31" s="225"/>
      <c r="C31" s="226"/>
      <c r="D31" s="225"/>
      <c r="E31" s="66" t="s">
        <v>1894</v>
      </c>
      <c r="F31" s="66"/>
      <c r="G31" s="228"/>
      <c r="H31" s="66"/>
      <c r="I31" s="66"/>
      <c r="J31" s="66"/>
      <c r="K31" s="66"/>
      <c r="L31" s="66"/>
      <c r="M31" s="66"/>
      <c r="N31" s="230"/>
      <c r="O31" s="228"/>
      <c r="P31" s="171">
        <f>ROUNDUP(O32+O34,-3)</f>
        <v>1500000</v>
      </c>
      <c r="Q31" s="171">
        <v>0</v>
      </c>
      <c r="R31" s="171">
        <f>+P31-Q31</f>
        <v>1500000</v>
      </c>
      <c r="S31" s="172">
        <v>1</v>
      </c>
    </row>
    <row r="32" spans="1:22" ht="15" customHeight="1">
      <c r="A32" s="224"/>
      <c r="B32" s="225"/>
      <c r="C32" s="226"/>
      <c r="D32" s="225"/>
      <c r="E32" s="240"/>
      <c r="F32" s="240" t="s">
        <v>1895</v>
      </c>
      <c r="G32" s="249"/>
      <c r="H32" s="240"/>
      <c r="I32" s="240"/>
      <c r="J32" s="240"/>
      <c r="K32" s="240"/>
      <c r="L32" s="240"/>
      <c r="M32" s="240"/>
      <c r="N32" s="244"/>
      <c r="O32" s="1061">
        <f>SUM(O33:O33)</f>
        <v>1400000</v>
      </c>
      <c r="P32" s="235"/>
      <c r="Q32" s="997"/>
      <c r="R32" s="235"/>
      <c r="S32" s="246"/>
    </row>
    <row r="33" spans="1:22" ht="15" customHeight="1">
      <c r="A33" s="224"/>
      <c r="B33" s="225"/>
      <c r="C33" s="226"/>
      <c r="D33" s="225"/>
      <c r="E33" s="998"/>
      <c r="F33" s="998" t="s">
        <v>1896</v>
      </c>
      <c r="G33" s="252">
        <v>350000</v>
      </c>
      <c r="H33" s="240" t="s">
        <v>1880</v>
      </c>
      <c r="I33" s="256">
        <v>4</v>
      </c>
      <c r="J33" s="240"/>
      <c r="K33" s="242"/>
      <c r="L33" s="240"/>
      <c r="M33" s="240"/>
      <c r="N33" s="244" t="s">
        <v>281</v>
      </c>
      <c r="O33" s="249">
        <f>SUM(G33*I33)</f>
        <v>1400000</v>
      </c>
      <c r="P33" s="235"/>
      <c r="Q33" s="997"/>
      <c r="R33" s="235"/>
      <c r="S33" s="246"/>
    </row>
    <row r="34" spans="1:22" ht="15" customHeight="1">
      <c r="A34" s="224"/>
      <c r="B34" s="225"/>
      <c r="C34" s="226"/>
      <c r="D34" s="225"/>
      <c r="E34" s="240"/>
      <c r="F34" s="240" t="s">
        <v>1134</v>
      </c>
      <c r="G34" s="249"/>
      <c r="H34" s="240"/>
      <c r="I34" s="241"/>
      <c r="J34" s="240"/>
      <c r="K34" s="242"/>
      <c r="L34" s="240"/>
      <c r="M34" s="240"/>
      <c r="N34" s="244"/>
      <c r="O34" s="1061">
        <f>SUM(O35:O35)</f>
        <v>100000</v>
      </c>
      <c r="P34" s="235"/>
      <c r="Q34" s="997"/>
      <c r="R34" s="235"/>
      <c r="S34" s="246"/>
      <c r="V34" s="1062"/>
    </row>
    <row r="35" spans="1:22" ht="15" customHeight="1">
      <c r="A35" s="224"/>
      <c r="B35" s="225"/>
      <c r="C35" s="226"/>
      <c r="D35" s="278"/>
      <c r="E35" s="998"/>
      <c r="F35" s="998" t="s">
        <v>1898</v>
      </c>
      <c r="G35" s="252">
        <v>100000</v>
      </c>
      <c r="H35" s="240" t="s">
        <v>1881</v>
      </c>
      <c r="I35" s="265">
        <v>1</v>
      </c>
      <c r="J35" s="240"/>
      <c r="K35" s="242"/>
      <c r="L35" s="240"/>
      <c r="M35" s="240"/>
      <c r="N35" s="244" t="s">
        <v>281</v>
      </c>
      <c r="O35" s="249">
        <f>SUM(G35*I35)</f>
        <v>100000</v>
      </c>
      <c r="P35" s="235"/>
      <c r="Q35" s="997"/>
      <c r="R35" s="235"/>
      <c r="S35" s="246"/>
    </row>
    <row r="36" spans="1:22" ht="15" customHeight="1">
      <c r="A36" s="224"/>
      <c r="B36" s="225"/>
      <c r="C36" s="226"/>
      <c r="D36" s="266" t="s">
        <v>1899</v>
      </c>
      <c r="E36" s="1058"/>
      <c r="F36" s="1058"/>
      <c r="G36" s="1059"/>
      <c r="H36" s="1058"/>
      <c r="I36" s="1058"/>
      <c r="J36" s="1058"/>
      <c r="K36" s="1058"/>
      <c r="L36" s="1058"/>
      <c r="M36" s="1058"/>
      <c r="N36" s="1060"/>
      <c r="O36" s="1059"/>
      <c r="P36" s="220">
        <f>SUM(P37:P39)</f>
        <v>42500000</v>
      </c>
      <c r="Q36" s="220">
        <f>+Q37</f>
        <v>0</v>
      </c>
      <c r="R36" s="220">
        <f>+P36-Q36</f>
        <v>42500000</v>
      </c>
      <c r="S36" s="221">
        <v>1</v>
      </c>
    </row>
    <row r="37" spans="1:22" ht="15" customHeight="1">
      <c r="A37" s="224"/>
      <c r="B37" s="225"/>
      <c r="C37" s="226"/>
      <c r="D37" s="267"/>
      <c r="E37" s="66" t="s">
        <v>609</v>
      </c>
      <c r="F37" s="66"/>
      <c r="G37" s="228"/>
      <c r="H37" s="66"/>
      <c r="I37" s="66"/>
      <c r="J37" s="66"/>
      <c r="K37" s="66"/>
      <c r="L37" s="66"/>
      <c r="M37" s="66"/>
      <c r="N37" s="230"/>
      <c r="O37" s="228"/>
      <c r="P37" s="171">
        <f>ROUNDUP(O38,-3)</f>
        <v>42500000</v>
      </c>
      <c r="Q37" s="171">
        <v>0</v>
      </c>
      <c r="R37" s="171">
        <f>+P37-Q37</f>
        <v>42500000</v>
      </c>
      <c r="S37" s="172">
        <v>1</v>
      </c>
    </row>
    <row r="38" spans="1:22" ht="15" customHeight="1">
      <c r="A38" s="224"/>
      <c r="B38" s="225"/>
      <c r="C38" s="226"/>
      <c r="D38" s="225"/>
      <c r="E38" s="240"/>
      <c r="F38" s="240" t="s">
        <v>460</v>
      </c>
      <c r="G38" s="249"/>
      <c r="H38" s="240"/>
      <c r="I38" s="240"/>
      <c r="J38" s="240"/>
      <c r="K38" s="240"/>
      <c r="L38" s="240"/>
      <c r="M38" s="240"/>
      <c r="N38" s="244"/>
      <c r="O38" s="1061">
        <f>SUM(O39:O39)</f>
        <v>42500000</v>
      </c>
      <c r="P38" s="235"/>
      <c r="Q38" s="997"/>
      <c r="R38" s="235"/>
      <c r="S38" s="246"/>
    </row>
    <row r="39" spans="1:22" ht="15" customHeight="1">
      <c r="A39" s="576"/>
      <c r="B39" s="278"/>
      <c r="C39" s="279"/>
      <c r="D39" s="278"/>
      <c r="E39" s="1023"/>
      <c r="F39" s="1023" t="s">
        <v>610</v>
      </c>
      <c r="G39" s="579">
        <v>2500</v>
      </c>
      <c r="H39" s="283" t="s">
        <v>282</v>
      </c>
      <c r="I39" s="1063">
        <v>68</v>
      </c>
      <c r="J39" s="283" t="s">
        <v>109</v>
      </c>
      <c r="K39" s="1064">
        <v>25</v>
      </c>
      <c r="L39" s="283" t="s">
        <v>109</v>
      </c>
      <c r="M39" s="284">
        <v>10</v>
      </c>
      <c r="N39" s="285" t="s">
        <v>281</v>
      </c>
      <c r="O39" s="282">
        <f>G39*I39*K39*M39</f>
        <v>42500000</v>
      </c>
      <c r="P39" s="287"/>
      <c r="Q39" s="1027"/>
      <c r="R39" s="287"/>
      <c r="S39" s="288"/>
    </row>
    <row r="40" spans="1:22" s="192" customFormat="1" ht="15" customHeight="1">
      <c r="A40" s="204"/>
      <c r="B40" s="222"/>
      <c r="C40" s="206" t="s">
        <v>927</v>
      </c>
      <c r="D40" s="205"/>
      <c r="E40" s="283"/>
      <c r="F40" s="283"/>
      <c r="G40" s="282"/>
      <c r="H40" s="283"/>
      <c r="I40" s="283"/>
      <c r="J40" s="283"/>
      <c r="K40" s="283"/>
      <c r="L40" s="283"/>
      <c r="M40" s="283"/>
      <c r="N40" s="285"/>
      <c r="O40" s="282"/>
      <c r="P40" s="211">
        <f>SUM(P41,P53)</f>
        <v>1200233000</v>
      </c>
      <c r="Q40" s="211">
        <f>SUM(Q41,Q45,Q53)</f>
        <v>0</v>
      </c>
      <c r="R40" s="211">
        <f>+P40-Q40</f>
        <v>1200233000</v>
      </c>
      <c r="S40" s="212">
        <v>1</v>
      </c>
    </row>
    <row r="41" spans="1:22" s="192" customFormat="1" ht="15" customHeight="1">
      <c r="A41" s="204"/>
      <c r="B41" s="222"/>
      <c r="C41" s="223"/>
      <c r="D41" s="266" t="s">
        <v>1900</v>
      </c>
      <c r="E41" s="1058"/>
      <c r="F41" s="1058"/>
      <c r="G41" s="1059"/>
      <c r="H41" s="1058"/>
      <c r="I41" s="1058"/>
      <c r="J41" s="1058"/>
      <c r="K41" s="1058"/>
      <c r="L41" s="1058"/>
      <c r="M41" s="1058"/>
      <c r="N41" s="1060"/>
      <c r="O41" s="1059"/>
      <c r="P41" s="220">
        <f>SUM(P42:P44)</f>
        <v>233000</v>
      </c>
      <c r="Q41" s="220">
        <f>+Q42</f>
        <v>0</v>
      </c>
      <c r="R41" s="220">
        <f>+P41-Q41</f>
        <v>233000</v>
      </c>
      <c r="S41" s="221">
        <v>1</v>
      </c>
    </row>
    <row r="42" spans="1:22" ht="15" customHeight="1">
      <c r="A42" s="224"/>
      <c r="B42" s="225"/>
      <c r="C42" s="226"/>
      <c r="D42" s="267"/>
      <c r="E42" s="255" t="s">
        <v>1901</v>
      </c>
      <c r="F42" s="66"/>
      <c r="G42" s="228"/>
      <c r="H42" s="66"/>
      <c r="I42" s="66"/>
      <c r="J42" s="66"/>
      <c r="K42" s="66"/>
      <c r="L42" s="66"/>
      <c r="M42" s="66"/>
      <c r="N42" s="230"/>
      <c r="O42" s="228"/>
      <c r="P42" s="171">
        <f>ROUNDUP(O43,-3)</f>
        <v>233000</v>
      </c>
      <c r="Q42" s="171">
        <v>0</v>
      </c>
      <c r="R42" s="171">
        <f>+P42-Q42</f>
        <v>233000</v>
      </c>
      <c r="S42" s="172">
        <v>1</v>
      </c>
    </row>
    <row r="43" spans="1:22" ht="15" customHeight="1">
      <c r="A43" s="224"/>
      <c r="B43" s="225"/>
      <c r="C43" s="226"/>
      <c r="D43" s="225"/>
      <c r="E43" s="240"/>
      <c r="F43" s="240" t="s">
        <v>962</v>
      </c>
      <c r="G43" s="249"/>
      <c r="H43" s="240"/>
      <c r="I43" s="240"/>
      <c r="J43" s="240"/>
      <c r="K43" s="240"/>
      <c r="L43" s="240"/>
      <c r="M43" s="240"/>
      <c r="N43" s="244"/>
      <c r="O43" s="1061">
        <f>SUM(O44:O44)</f>
        <v>233000</v>
      </c>
      <c r="P43" s="235"/>
      <c r="Q43" s="997"/>
      <c r="R43" s="235"/>
      <c r="S43" s="246"/>
    </row>
    <row r="44" spans="1:22" ht="15" customHeight="1">
      <c r="A44" s="224"/>
      <c r="B44" s="225"/>
      <c r="C44" s="226"/>
      <c r="D44" s="278"/>
      <c r="E44" s="998"/>
      <c r="F44" s="998" t="s">
        <v>489</v>
      </c>
      <c r="G44" s="252">
        <v>233000</v>
      </c>
      <c r="H44" s="240" t="s">
        <v>282</v>
      </c>
      <c r="I44" s="999">
        <v>1</v>
      </c>
      <c r="J44" s="240"/>
      <c r="K44" s="242"/>
      <c r="L44" s="240"/>
      <c r="M44" s="240"/>
      <c r="N44" s="244" t="s">
        <v>1882</v>
      </c>
      <c r="O44" s="249">
        <f>G44*I44</f>
        <v>233000</v>
      </c>
      <c r="P44" s="235"/>
      <c r="Q44" s="997"/>
      <c r="R44" s="235"/>
      <c r="S44" s="246"/>
    </row>
    <row r="45" spans="1:22" s="192" customFormat="1" ht="15" customHeight="1">
      <c r="A45" s="204"/>
      <c r="B45" s="222"/>
      <c r="C45" s="223"/>
      <c r="D45" s="850" t="s">
        <v>111</v>
      </c>
      <c r="E45" s="1058"/>
      <c r="F45" s="1058"/>
      <c r="G45" s="1059"/>
      <c r="H45" s="1058"/>
      <c r="I45" s="1058"/>
      <c r="J45" s="1058"/>
      <c r="K45" s="1058"/>
      <c r="L45" s="1058"/>
      <c r="M45" s="1058"/>
      <c r="N45" s="1060"/>
      <c r="O45" s="1059"/>
      <c r="P45" s="220">
        <f>SUM(P46:P52)</f>
        <v>0</v>
      </c>
      <c r="Q45" s="220">
        <f>SUM(Q46,Q50)</f>
        <v>0</v>
      </c>
      <c r="R45" s="220">
        <f>+P45-Q45</f>
        <v>0</v>
      </c>
      <c r="S45" s="221">
        <v>0</v>
      </c>
    </row>
    <row r="46" spans="1:22" ht="15" customHeight="1">
      <c r="A46" s="224"/>
      <c r="B46" s="225"/>
      <c r="C46" s="226"/>
      <c r="D46" s="267"/>
      <c r="E46" s="861" t="s">
        <v>1902</v>
      </c>
      <c r="F46" s="66"/>
      <c r="G46" s="228"/>
      <c r="H46" s="66"/>
      <c r="I46" s="66"/>
      <c r="J46" s="66"/>
      <c r="K46" s="66"/>
      <c r="L46" s="66"/>
      <c r="M46" s="66"/>
      <c r="N46" s="230"/>
      <c r="O46" s="228"/>
      <c r="P46" s="171">
        <f>O47</f>
        <v>0</v>
      </c>
      <c r="Q46" s="171">
        <f>+O47</f>
        <v>0</v>
      </c>
      <c r="R46" s="171">
        <f>+P46-Q46</f>
        <v>0</v>
      </c>
      <c r="S46" s="172">
        <v>0</v>
      </c>
    </row>
    <row r="47" spans="1:22" ht="15" hidden="1" customHeight="1">
      <c r="A47" s="224"/>
      <c r="B47" s="225"/>
      <c r="C47" s="226"/>
      <c r="D47" s="521"/>
      <c r="E47" s="1065"/>
      <c r="F47" s="1066" t="s">
        <v>613</v>
      </c>
      <c r="G47" s="1067"/>
      <c r="H47" s="1068"/>
      <c r="I47" s="1068"/>
      <c r="J47" s="1068"/>
      <c r="K47" s="1068"/>
      <c r="L47" s="1068"/>
      <c r="M47" s="1068"/>
      <c r="N47" s="1069"/>
      <c r="O47" s="1070">
        <f>SUM(O48:O49)</f>
        <v>0</v>
      </c>
      <c r="P47" s="1071"/>
      <c r="Q47" s="1004"/>
      <c r="R47" s="1071"/>
      <c r="S47" s="264"/>
    </row>
    <row r="48" spans="1:22" ht="15" hidden="1" customHeight="1">
      <c r="A48" s="204"/>
      <c r="B48" s="225"/>
      <c r="C48" s="226"/>
      <c r="D48" s="226"/>
      <c r="E48" s="1072"/>
      <c r="F48" s="1073" t="s">
        <v>1903</v>
      </c>
      <c r="G48" s="1074"/>
      <c r="H48" s="1054"/>
      <c r="I48" s="1075"/>
      <c r="J48" s="1054"/>
      <c r="K48" s="1076"/>
      <c r="L48" s="1054"/>
      <c r="M48" s="1054"/>
      <c r="N48" s="1077"/>
      <c r="O48" s="1078"/>
      <c r="P48" s="1079"/>
      <c r="Q48" s="997"/>
      <c r="R48" s="1079"/>
      <c r="S48" s="246"/>
    </row>
    <row r="49" spans="1:19" ht="15" hidden="1" customHeight="1">
      <c r="A49" s="204"/>
      <c r="B49" s="225"/>
      <c r="C49" s="226"/>
      <c r="D49" s="225"/>
      <c r="E49" s="1080"/>
      <c r="F49" s="1081" t="s">
        <v>1026</v>
      </c>
      <c r="G49" s="1082"/>
      <c r="H49" s="1083"/>
      <c r="I49" s="1084"/>
      <c r="J49" s="1083"/>
      <c r="K49" s="1085"/>
      <c r="L49" s="1083"/>
      <c r="M49" s="1083"/>
      <c r="N49" s="1086"/>
      <c r="O49" s="1087"/>
      <c r="P49" s="1088"/>
      <c r="Q49" s="1027"/>
      <c r="R49" s="1088"/>
      <c r="S49" s="288"/>
    </row>
    <row r="50" spans="1:19" ht="15" customHeight="1">
      <c r="A50" s="224"/>
      <c r="B50" s="225"/>
      <c r="C50" s="226"/>
      <c r="D50" s="225"/>
      <c r="E50" s="861" t="s">
        <v>1904</v>
      </c>
      <c r="F50" s="66"/>
      <c r="G50" s="228"/>
      <c r="H50" s="66"/>
      <c r="I50" s="66"/>
      <c r="J50" s="66"/>
      <c r="K50" s="66"/>
      <c r="L50" s="66"/>
      <c r="M50" s="66"/>
      <c r="N50" s="230"/>
      <c r="O50" s="228"/>
      <c r="P50" s="171">
        <f>O51</f>
        <v>0</v>
      </c>
      <c r="Q50" s="171">
        <f>+O51</f>
        <v>0</v>
      </c>
      <c r="R50" s="171">
        <f>+P50-Q50</f>
        <v>0</v>
      </c>
      <c r="S50" s="172">
        <v>0</v>
      </c>
    </row>
    <row r="51" spans="1:19" ht="15" hidden="1" customHeight="1">
      <c r="A51" s="224"/>
      <c r="B51" s="225"/>
      <c r="C51" s="226"/>
      <c r="D51" s="225"/>
      <c r="E51" s="1065"/>
      <c r="F51" s="875" t="s">
        <v>1905</v>
      </c>
      <c r="G51" s="1067"/>
      <c r="H51" s="1068"/>
      <c r="I51" s="1068"/>
      <c r="J51" s="1068"/>
      <c r="K51" s="1068"/>
      <c r="L51" s="1068"/>
      <c r="M51" s="1068"/>
      <c r="N51" s="1069"/>
      <c r="O51" s="1089">
        <f>+O52</f>
        <v>0</v>
      </c>
      <c r="P51" s="263"/>
      <c r="Q51" s="1004"/>
      <c r="R51" s="263"/>
      <c r="S51" s="264"/>
    </row>
    <row r="52" spans="1:19" ht="15" hidden="1" customHeight="1">
      <c r="A52" s="204"/>
      <c r="B52" s="225"/>
      <c r="C52" s="1029"/>
      <c r="D52" s="278"/>
      <c r="E52" s="1090"/>
      <c r="F52" s="1091" t="s">
        <v>1906</v>
      </c>
      <c r="G52" s="1082"/>
      <c r="H52" s="1083"/>
      <c r="I52" s="1084"/>
      <c r="J52" s="1083"/>
      <c r="K52" s="1085"/>
      <c r="L52" s="1083"/>
      <c r="M52" s="1083"/>
      <c r="N52" s="1086"/>
      <c r="O52" s="1092"/>
      <c r="P52" s="287"/>
      <c r="Q52" s="1027"/>
      <c r="R52" s="287"/>
      <c r="S52" s="288"/>
    </row>
    <row r="53" spans="1:19" s="192" customFormat="1" ht="15" customHeight="1">
      <c r="A53" s="204"/>
      <c r="B53" s="222"/>
      <c r="C53" s="223"/>
      <c r="D53" s="266" t="s">
        <v>1907</v>
      </c>
      <c r="E53" s="1058"/>
      <c r="F53" s="1058"/>
      <c r="G53" s="1059"/>
      <c r="H53" s="1058"/>
      <c r="I53" s="1058"/>
      <c r="J53" s="1058"/>
      <c r="K53" s="1058"/>
      <c r="L53" s="1058"/>
      <c r="M53" s="1058"/>
      <c r="N53" s="1060"/>
      <c r="O53" s="1059"/>
      <c r="P53" s="220">
        <f>SUM(P54:P56)</f>
        <v>1200000000</v>
      </c>
      <c r="Q53" s="220">
        <f>+Q54</f>
        <v>0</v>
      </c>
      <c r="R53" s="220">
        <f>+P53-Q53</f>
        <v>1200000000</v>
      </c>
      <c r="S53" s="221">
        <v>1</v>
      </c>
    </row>
    <row r="54" spans="1:19" ht="15" customHeight="1">
      <c r="A54" s="224"/>
      <c r="B54" s="225"/>
      <c r="C54" s="226"/>
      <c r="D54" s="267"/>
      <c r="E54" s="255" t="s">
        <v>1908</v>
      </c>
      <c r="F54" s="66"/>
      <c r="G54" s="228"/>
      <c r="H54" s="66"/>
      <c r="I54" s="66"/>
      <c r="J54" s="66"/>
      <c r="K54" s="66"/>
      <c r="L54" s="66"/>
      <c r="M54" s="66"/>
      <c r="N54" s="230"/>
      <c r="O54" s="228"/>
      <c r="P54" s="171">
        <f>ROUNDUP(O55,-3)</f>
        <v>1200000000</v>
      </c>
      <c r="Q54" s="171">
        <v>0</v>
      </c>
      <c r="R54" s="171">
        <f>+P54-Q54</f>
        <v>1200000000</v>
      </c>
      <c r="S54" s="172">
        <v>1</v>
      </c>
    </row>
    <row r="55" spans="1:19" ht="15" customHeight="1">
      <c r="A55" s="224"/>
      <c r="B55" s="225"/>
      <c r="C55" s="226"/>
      <c r="D55" s="225"/>
      <c r="E55" s="1000"/>
      <c r="F55" s="1093" t="s">
        <v>1909</v>
      </c>
      <c r="G55" s="1094"/>
      <c r="H55" s="1093"/>
      <c r="I55" s="1093"/>
      <c r="J55" s="1093"/>
      <c r="K55" s="1093"/>
      <c r="L55" s="1093"/>
      <c r="M55" s="1093"/>
      <c r="N55" s="1095"/>
      <c r="O55" s="1096">
        <f>SUM(O56:O56)</f>
        <v>1200000000</v>
      </c>
      <c r="P55" s="263"/>
      <c r="Q55" s="1004"/>
      <c r="R55" s="263"/>
      <c r="S55" s="264"/>
    </row>
    <row r="56" spans="1:19" ht="15" customHeight="1" thickBot="1">
      <c r="A56" s="1005"/>
      <c r="B56" s="426"/>
      <c r="C56" s="1006"/>
      <c r="D56" s="426"/>
      <c r="E56" s="1097"/>
      <c r="F56" s="1098" t="s">
        <v>2411</v>
      </c>
      <c r="G56" s="1099">
        <v>1200000000</v>
      </c>
      <c r="H56" s="1100" t="s">
        <v>1910</v>
      </c>
      <c r="I56" s="1101">
        <v>1</v>
      </c>
      <c r="J56" s="1100"/>
      <c r="K56" s="1102"/>
      <c r="L56" s="1100"/>
      <c r="M56" s="1100"/>
      <c r="N56" s="1103" t="s">
        <v>1911</v>
      </c>
      <c r="O56" s="1104">
        <f>G56</f>
        <v>1200000000</v>
      </c>
      <c r="P56" s="1014"/>
      <c r="Q56" s="1015"/>
      <c r="R56" s="1014"/>
      <c r="S56" s="1016"/>
    </row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</sheetData>
  <mergeCells count="8">
    <mergeCell ref="A1:S1"/>
    <mergeCell ref="R2:S2"/>
    <mergeCell ref="A3:E3"/>
    <mergeCell ref="G3:O4"/>
    <mergeCell ref="P3:P4"/>
    <mergeCell ref="Q3:Q4"/>
    <mergeCell ref="R3:R4"/>
    <mergeCell ref="S3:S4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scale="78" firstPageNumber="32" fitToHeight="0" orientation="landscape" useFirstPageNumber="1" horizontalDpi="4294967293" r:id="rId1"/>
  <headerFooter scaleWithDoc="0" alignWithMargins="0">
    <oddFooter>&amp;C&amp;P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99FF"/>
    <pageSetUpPr fitToPage="1"/>
  </sheetPr>
  <dimension ref="A1:AB220"/>
  <sheetViews>
    <sheetView view="pageBreakPreview" zoomScaleNormal="85" zoomScaleSheetLayoutView="100" workbookViewId="0">
      <selection activeCell="V20" sqref="V20"/>
    </sheetView>
  </sheetViews>
  <sheetFormatPr defaultColWidth="9" defaultRowHeight="13.5"/>
  <cols>
    <col min="1" max="1" width="3.625" style="196" customWidth="1"/>
    <col min="2" max="4" width="3.625" style="193" customWidth="1"/>
    <col min="5" max="5" width="11.25" style="193" customWidth="1"/>
    <col min="6" max="6" width="25.125" style="196" customWidth="1"/>
    <col min="7" max="7" width="13" style="195" bestFit="1" customWidth="1"/>
    <col min="8" max="8" width="2.125" style="196" customWidth="1"/>
    <col min="9" max="9" width="6.625" style="196" bestFit="1" customWidth="1"/>
    <col min="10" max="10" width="2.125" style="196" customWidth="1"/>
    <col min="11" max="11" width="5.75" style="196" bestFit="1" customWidth="1"/>
    <col min="12" max="12" width="2.75" style="196" customWidth="1"/>
    <col min="13" max="13" width="4.875" style="196" bestFit="1" customWidth="1"/>
    <col min="14" max="14" width="2.625" style="198" customWidth="1"/>
    <col min="15" max="15" width="12.625" style="196" customWidth="1"/>
    <col min="16" max="16" width="10.625" style="199" customWidth="1"/>
    <col min="17" max="18" width="10.625" style="200" customWidth="1"/>
    <col min="19" max="19" width="10.625" style="289" customWidth="1"/>
    <col min="20" max="20" width="9" style="196"/>
    <col min="21" max="21" width="11.875" style="196" bestFit="1" customWidth="1"/>
    <col min="22" max="16384" width="9" style="196"/>
  </cols>
  <sheetData>
    <row r="1" spans="1:28" s="192" customFormat="1" ht="35.1" customHeight="1">
      <c r="A1" s="1968" t="s">
        <v>1037</v>
      </c>
      <c r="B1" s="1968"/>
      <c r="C1" s="1968"/>
      <c r="D1" s="1968"/>
      <c r="E1" s="1968"/>
      <c r="F1" s="1968"/>
      <c r="G1" s="1968"/>
      <c r="H1" s="1968"/>
      <c r="I1" s="1968"/>
      <c r="J1" s="1968"/>
      <c r="K1" s="1968"/>
      <c r="L1" s="1968"/>
      <c r="M1" s="1968"/>
      <c r="N1" s="1968"/>
      <c r="O1" s="1968"/>
      <c r="P1" s="1968"/>
      <c r="Q1" s="1968"/>
      <c r="R1" s="1968"/>
      <c r="S1" s="1968"/>
    </row>
    <row r="2" spans="1:28" ht="15" customHeight="1" thickBot="1">
      <c r="A2" s="192" t="s">
        <v>1038</v>
      </c>
      <c r="R2" s="1969" t="s">
        <v>1039</v>
      </c>
      <c r="S2" s="1969"/>
    </row>
    <row r="3" spans="1:28" s="201" customFormat="1" ht="14.25" customHeight="1">
      <c r="A3" s="1970" t="s">
        <v>1040</v>
      </c>
      <c r="B3" s="1971"/>
      <c r="C3" s="1971"/>
      <c r="D3" s="1971"/>
      <c r="E3" s="1971"/>
      <c r="F3" s="1987"/>
      <c r="G3" s="1972" t="s">
        <v>1041</v>
      </c>
      <c r="H3" s="1972"/>
      <c r="I3" s="1972"/>
      <c r="J3" s="1972"/>
      <c r="K3" s="1972"/>
      <c r="L3" s="1972"/>
      <c r="M3" s="1972"/>
      <c r="N3" s="1972"/>
      <c r="O3" s="1973"/>
      <c r="P3" s="1976" t="s">
        <v>1042</v>
      </c>
      <c r="Q3" s="1978" t="s">
        <v>94</v>
      </c>
      <c r="R3" s="1980" t="s">
        <v>1043</v>
      </c>
      <c r="S3" s="1982" t="s">
        <v>1044</v>
      </c>
    </row>
    <row r="4" spans="1:28" s="201" customFormat="1" ht="14.25" customHeight="1" thickBot="1">
      <c r="A4" s="1750" t="s">
        <v>1045</v>
      </c>
      <c r="B4" s="1751" t="s">
        <v>1046</v>
      </c>
      <c r="C4" s="1751" t="s">
        <v>1047</v>
      </c>
      <c r="D4" s="1751" t="s">
        <v>1048</v>
      </c>
      <c r="E4" s="1751" t="s">
        <v>1049</v>
      </c>
      <c r="F4" s="1752" t="s">
        <v>1050</v>
      </c>
      <c r="G4" s="1974"/>
      <c r="H4" s="1974"/>
      <c r="I4" s="1974"/>
      <c r="J4" s="1974"/>
      <c r="K4" s="1974"/>
      <c r="L4" s="1974"/>
      <c r="M4" s="1974"/>
      <c r="N4" s="1974"/>
      <c r="O4" s="1975"/>
      <c r="P4" s="1977"/>
      <c r="Q4" s="1979"/>
      <c r="R4" s="1981"/>
      <c r="S4" s="1983"/>
    </row>
    <row r="5" spans="1:28" s="192" customFormat="1" ht="14.25" customHeight="1">
      <c r="A5" s="1105" t="s">
        <v>1051</v>
      </c>
      <c r="B5" s="1106"/>
      <c r="C5" s="1107"/>
      <c r="D5" s="1107"/>
      <c r="E5" s="1107"/>
      <c r="F5" s="1107"/>
      <c r="G5" s="1108"/>
      <c r="H5" s="1107"/>
      <c r="I5" s="1107"/>
      <c r="J5" s="1107"/>
      <c r="K5" s="1107"/>
      <c r="L5" s="1107"/>
      <c r="M5" s="1107"/>
      <c r="N5" s="1109"/>
      <c r="O5" s="1107"/>
      <c r="P5" s="1110">
        <f>P6</f>
        <v>1705842000</v>
      </c>
      <c r="Q5" s="1110">
        <f>Q6</f>
        <v>1271000000</v>
      </c>
      <c r="R5" s="1110">
        <f>P5-Q5</f>
        <v>434842000</v>
      </c>
      <c r="S5" s="1111">
        <f>+R5/Q5</f>
        <v>0.34212588512981906</v>
      </c>
    </row>
    <row r="6" spans="1:28" s="192" customFormat="1" ht="14.25" customHeight="1">
      <c r="A6" s="204"/>
      <c r="B6" s="266" t="s">
        <v>1052</v>
      </c>
      <c r="C6" s="214"/>
      <c r="D6" s="214"/>
      <c r="E6" s="214"/>
      <c r="F6" s="217"/>
      <c r="G6" s="216"/>
      <c r="H6" s="217"/>
      <c r="I6" s="217"/>
      <c r="J6" s="217"/>
      <c r="K6" s="217"/>
      <c r="L6" s="217"/>
      <c r="M6" s="217"/>
      <c r="N6" s="219"/>
      <c r="O6" s="217"/>
      <c r="P6" s="220">
        <f>SUM(P7,P132)</f>
        <v>1705842000</v>
      </c>
      <c r="Q6" s="220">
        <f>SUM(Q7,Q132)</f>
        <v>1271000000</v>
      </c>
      <c r="R6" s="220">
        <f>+P6-Q6</f>
        <v>434842000</v>
      </c>
      <c r="S6" s="221">
        <f>+R6/Q6</f>
        <v>0.34212588512981906</v>
      </c>
    </row>
    <row r="7" spans="1:28" s="192" customFormat="1" ht="14.25" customHeight="1">
      <c r="A7" s="204"/>
      <c r="B7" s="213"/>
      <c r="C7" s="214" t="s">
        <v>1053</v>
      </c>
      <c r="D7" s="214"/>
      <c r="E7" s="214"/>
      <c r="F7" s="217"/>
      <c r="G7" s="216"/>
      <c r="H7" s="217"/>
      <c r="I7" s="217"/>
      <c r="J7" s="217"/>
      <c r="K7" s="217"/>
      <c r="L7" s="217"/>
      <c r="M7" s="217"/>
      <c r="N7" s="219"/>
      <c r="O7" s="217"/>
      <c r="P7" s="220">
        <f>P8+P117+P124</f>
        <v>832842000</v>
      </c>
      <c r="Q7" s="220">
        <f>Q8+Q117+Q124</f>
        <v>433307000</v>
      </c>
      <c r="R7" s="220">
        <f>+P7-Q7</f>
        <v>399535000</v>
      </c>
      <c r="S7" s="221">
        <f>+R7/Q7</f>
        <v>0.92205987902341757</v>
      </c>
      <c r="T7" s="196"/>
      <c r="U7" s="196"/>
      <c r="V7" s="196"/>
      <c r="W7" s="196"/>
      <c r="X7" s="196"/>
      <c r="Y7" s="196"/>
      <c r="Z7" s="196"/>
      <c r="AA7" s="196"/>
      <c r="AB7" s="196"/>
    </row>
    <row r="8" spans="1:28" s="192" customFormat="1" ht="14.25" customHeight="1">
      <c r="A8" s="204"/>
      <c r="B8" s="222"/>
      <c r="C8" s="213"/>
      <c r="D8" s="1984" t="s">
        <v>1054</v>
      </c>
      <c r="E8" s="1985"/>
      <c r="F8" s="217"/>
      <c r="G8" s="216"/>
      <c r="H8" s="217"/>
      <c r="I8" s="217"/>
      <c r="J8" s="217"/>
      <c r="K8" s="217"/>
      <c r="L8" s="217"/>
      <c r="M8" s="217"/>
      <c r="N8" s="219"/>
      <c r="O8" s="217"/>
      <c r="P8" s="220">
        <f>SUM(P9+P100)</f>
        <v>736180000</v>
      </c>
      <c r="Q8" s="220">
        <f>SUM(Q9+Q100)</f>
        <v>356020000</v>
      </c>
      <c r="R8" s="220">
        <f>+P8-Q8</f>
        <v>380160000</v>
      </c>
      <c r="S8" s="221">
        <f>+R8/Q8</f>
        <v>1.0678051794842986</v>
      </c>
      <c r="T8" s="196"/>
      <c r="U8" s="196"/>
      <c r="V8" s="196"/>
      <c r="W8" s="196"/>
      <c r="X8" s="196"/>
      <c r="Y8" s="196"/>
      <c r="Z8" s="196"/>
      <c r="AA8" s="196"/>
      <c r="AB8" s="196"/>
    </row>
    <row r="9" spans="1:28" ht="14.25" customHeight="1">
      <c r="A9" s="224"/>
      <c r="B9" s="225"/>
      <c r="C9" s="225"/>
      <c r="D9" s="226"/>
      <c r="E9" s="1112" t="s">
        <v>1055</v>
      </c>
      <c r="F9" s="66"/>
      <c r="G9" s="228"/>
      <c r="H9" s="66"/>
      <c r="I9" s="66"/>
      <c r="J9" s="66"/>
      <c r="K9" s="66"/>
      <c r="L9" s="66"/>
      <c r="M9" s="66"/>
      <c r="N9" s="230"/>
      <c r="O9" s="66"/>
      <c r="P9" s="171">
        <f>ROUNDUP((O10),-3)</f>
        <v>455740000</v>
      </c>
      <c r="Q9" s="171">
        <v>310820000</v>
      </c>
      <c r="R9" s="171">
        <f>+P9-Q9</f>
        <v>144920000</v>
      </c>
      <c r="S9" s="172">
        <f>+R9/Q9</f>
        <v>0.46625056302683227</v>
      </c>
    </row>
    <row r="10" spans="1:28" ht="14.25" customHeight="1">
      <c r="A10" s="224"/>
      <c r="B10" s="225"/>
      <c r="C10" s="225"/>
      <c r="D10" s="226"/>
      <c r="E10" s="521"/>
      <c r="F10" s="240" t="s">
        <v>1056</v>
      </c>
      <c r="G10" s="249"/>
      <c r="H10" s="240"/>
      <c r="I10" s="240"/>
      <c r="J10" s="240"/>
      <c r="K10" s="240"/>
      <c r="L10" s="240"/>
      <c r="M10" s="240"/>
      <c r="N10" s="244"/>
      <c r="O10" s="251">
        <f>SUM(O11,O13,O15,O17,O20,O22,O24,O30,O35,O38,O40,O43,O45,O50,O53,O56,O59,O63,O65,O67,O69,O72,O74,O77,O81,O84,O86,O88,O92,O94,O97)</f>
        <v>455740000</v>
      </c>
      <c r="P10" s="235"/>
      <c r="Q10" s="997"/>
      <c r="R10" s="235"/>
      <c r="S10" s="246"/>
    </row>
    <row r="11" spans="1:28" ht="14.25" customHeight="1">
      <c r="A11" s="224"/>
      <c r="B11" s="225"/>
      <c r="C11" s="225"/>
      <c r="D11" s="226"/>
      <c r="E11" s="521"/>
      <c r="F11" s="998" t="s">
        <v>1057</v>
      </c>
      <c r="G11" s="1113"/>
      <c r="H11" s="240"/>
      <c r="I11" s="242"/>
      <c r="J11" s="240"/>
      <c r="K11" s="240"/>
      <c r="L11" s="240"/>
      <c r="M11" s="240"/>
      <c r="N11" s="244"/>
      <c r="O11" s="1061">
        <f>SUM(O12)</f>
        <v>28800000</v>
      </c>
      <c r="P11" s="235"/>
      <c r="Q11" s="997"/>
      <c r="R11" s="235"/>
      <c r="S11" s="246"/>
    </row>
    <row r="12" spans="1:28" ht="14.25" customHeight="1">
      <c r="A12" s="224"/>
      <c r="B12" s="225"/>
      <c r="C12" s="225"/>
      <c r="D12" s="226"/>
      <c r="E12" s="521"/>
      <c r="F12" s="1114" t="s">
        <v>1058</v>
      </c>
      <c r="G12" s="252">
        <v>40000</v>
      </c>
      <c r="H12" s="240" t="s">
        <v>1059</v>
      </c>
      <c r="I12" s="241">
        <v>30</v>
      </c>
      <c r="J12" s="240" t="s">
        <v>1059</v>
      </c>
      <c r="K12" s="242">
        <v>12</v>
      </c>
      <c r="L12" s="240" t="s">
        <v>1059</v>
      </c>
      <c r="M12" s="1115">
        <v>2</v>
      </c>
      <c r="N12" s="244" t="s">
        <v>1060</v>
      </c>
      <c r="O12" s="245">
        <f>G12*I12*K12*M12</f>
        <v>28800000</v>
      </c>
      <c r="P12" s="235"/>
      <c r="Q12" s="997"/>
      <c r="R12" s="235"/>
      <c r="S12" s="246"/>
    </row>
    <row r="13" spans="1:28" ht="14.25" customHeight="1">
      <c r="A13" s="224"/>
      <c r="B13" s="225"/>
      <c r="C13" s="225"/>
      <c r="D13" s="226"/>
      <c r="E13" s="521"/>
      <c r="F13" s="998" t="s">
        <v>1061</v>
      </c>
      <c r="G13" s="252"/>
      <c r="H13" s="240"/>
      <c r="I13" s="241"/>
      <c r="J13" s="240"/>
      <c r="K13" s="242"/>
      <c r="L13" s="240"/>
      <c r="M13" s="242"/>
      <c r="N13" s="244"/>
      <c r="O13" s="1061">
        <f>SUM(O14)</f>
        <v>14400000</v>
      </c>
      <c r="P13" s="235"/>
      <c r="Q13" s="997"/>
      <c r="R13" s="235"/>
      <c r="S13" s="246"/>
    </row>
    <row r="14" spans="1:28" ht="14.25" customHeight="1">
      <c r="A14" s="224"/>
      <c r="B14" s="225"/>
      <c r="C14" s="225"/>
      <c r="D14" s="226"/>
      <c r="E14" s="521"/>
      <c r="F14" s="1114" t="s">
        <v>1062</v>
      </c>
      <c r="G14" s="252">
        <v>30000</v>
      </c>
      <c r="H14" s="240" t="s">
        <v>1059</v>
      </c>
      <c r="I14" s="241">
        <v>40</v>
      </c>
      <c r="J14" s="240" t="s">
        <v>1059</v>
      </c>
      <c r="K14" s="242">
        <v>12</v>
      </c>
      <c r="L14" s="240" t="s">
        <v>1059</v>
      </c>
      <c r="M14" s="1115">
        <v>1</v>
      </c>
      <c r="N14" s="244" t="s">
        <v>1060</v>
      </c>
      <c r="O14" s="245">
        <f>G14*I14*K14*M14</f>
        <v>14400000</v>
      </c>
      <c r="P14" s="235"/>
      <c r="Q14" s="997"/>
      <c r="R14" s="235"/>
      <c r="S14" s="246"/>
    </row>
    <row r="15" spans="1:28" ht="14.25" customHeight="1">
      <c r="A15" s="224"/>
      <c r="B15" s="225"/>
      <c r="C15" s="225"/>
      <c r="D15" s="226"/>
      <c r="E15" s="521"/>
      <c r="F15" s="998" t="s">
        <v>1063</v>
      </c>
      <c r="G15" s="252"/>
      <c r="H15" s="240"/>
      <c r="I15" s="241"/>
      <c r="J15" s="240"/>
      <c r="K15" s="242"/>
      <c r="L15" s="240"/>
      <c r="M15" s="242"/>
      <c r="N15" s="244"/>
      <c r="O15" s="1061">
        <f>SUM(O16)</f>
        <v>18000000</v>
      </c>
      <c r="P15" s="235"/>
      <c r="Q15" s="997"/>
      <c r="R15" s="235"/>
      <c r="S15" s="246"/>
    </row>
    <row r="16" spans="1:28" ht="14.25" customHeight="1">
      <c r="A16" s="224"/>
      <c r="B16" s="225"/>
      <c r="C16" s="225"/>
      <c r="D16" s="226"/>
      <c r="E16" s="521"/>
      <c r="F16" s="1114" t="s">
        <v>1058</v>
      </c>
      <c r="G16" s="252">
        <v>50000</v>
      </c>
      <c r="H16" s="240" t="s">
        <v>1059</v>
      </c>
      <c r="I16" s="241">
        <v>15</v>
      </c>
      <c r="J16" s="240" t="s">
        <v>1059</v>
      </c>
      <c r="K16" s="242">
        <v>8</v>
      </c>
      <c r="L16" s="240" t="s">
        <v>1059</v>
      </c>
      <c r="M16" s="1115">
        <v>3</v>
      </c>
      <c r="N16" s="244" t="s">
        <v>1060</v>
      </c>
      <c r="O16" s="245">
        <f>G16*I16*K16*M16</f>
        <v>18000000</v>
      </c>
      <c r="P16" s="235"/>
      <c r="Q16" s="997"/>
      <c r="R16" s="235"/>
      <c r="S16" s="246"/>
    </row>
    <row r="17" spans="1:19" ht="14.25" customHeight="1">
      <c r="A17" s="224"/>
      <c r="B17" s="225"/>
      <c r="C17" s="225"/>
      <c r="D17" s="226"/>
      <c r="E17" s="521"/>
      <c r="F17" s="998" t="s">
        <v>1064</v>
      </c>
      <c r="G17" s="252"/>
      <c r="H17" s="240"/>
      <c r="I17" s="241"/>
      <c r="J17" s="240"/>
      <c r="K17" s="242"/>
      <c r="L17" s="240"/>
      <c r="M17" s="242"/>
      <c r="N17" s="244"/>
      <c r="O17" s="1061">
        <f>SUM(O18:O19)</f>
        <v>25200000</v>
      </c>
      <c r="P17" s="235"/>
      <c r="Q17" s="997"/>
      <c r="R17" s="235"/>
      <c r="S17" s="246"/>
    </row>
    <row r="18" spans="1:19" ht="14.25" customHeight="1">
      <c r="A18" s="224"/>
      <c r="B18" s="225"/>
      <c r="C18" s="225"/>
      <c r="D18" s="226"/>
      <c r="E18" s="521"/>
      <c r="F18" s="1114" t="s">
        <v>1058</v>
      </c>
      <c r="G18" s="252">
        <v>45000</v>
      </c>
      <c r="H18" s="240" t="s">
        <v>1059</v>
      </c>
      <c r="I18" s="241">
        <v>15</v>
      </c>
      <c r="J18" s="240" t="s">
        <v>1059</v>
      </c>
      <c r="K18" s="242">
        <v>12</v>
      </c>
      <c r="L18" s="240" t="s">
        <v>1059</v>
      </c>
      <c r="M18" s="1115">
        <v>2</v>
      </c>
      <c r="N18" s="244" t="s">
        <v>1060</v>
      </c>
      <c r="O18" s="245">
        <f>G18*I18*K18*M18</f>
        <v>16200000</v>
      </c>
      <c r="P18" s="235"/>
      <c r="Q18" s="997"/>
      <c r="R18" s="235"/>
      <c r="S18" s="246"/>
    </row>
    <row r="19" spans="1:19" ht="14.25" customHeight="1">
      <c r="A19" s="224"/>
      <c r="B19" s="225"/>
      <c r="C19" s="225"/>
      <c r="D19" s="226"/>
      <c r="E19" s="521"/>
      <c r="F19" s="1114" t="s">
        <v>1058</v>
      </c>
      <c r="G19" s="252">
        <v>50000</v>
      </c>
      <c r="H19" s="240" t="s">
        <v>1059</v>
      </c>
      <c r="I19" s="241">
        <v>15</v>
      </c>
      <c r="J19" s="240" t="s">
        <v>1059</v>
      </c>
      <c r="K19" s="242">
        <v>12</v>
      </c>
      <c r="L19" s="240" t="s">
        <v>1059</v>
      </c>
      <c r="M19" s="1115">
        <v>1</v>
      </c>
      <c r="N19" s="244" t="s">
        <v>1060</v>
      </c>
      <c r="O19" s="245">
        <f>G19*I19*K19*M19</f>
        <v>9000000</v>
      </c>
      <c r="P19" s="235"/>
      <c r="Q19" s="997"/>
      <c r="R19" s="235"/>
      <c r="S19" s="246"/>
    </row>
    <row r="20" spans="1:19" ht="14.25" customHeight="1">
      <c r="A20" s="224"/>
      <c r="B20" s="225"/>
      <c r="C20" s="225"/>
      <c r="D20" s="226"/>
      <c r="E20" s="521"/>
      <c r="F20" s="998" t="s">
        <v>1065</v>
      </c>
      <c r="G20" s="252"/>
      <c r="H20" s="240"/>
      <c r="I20" s="241"/>
      <c r="J20" s="240"/>
      <c r="K20" s="242"/>
      <c r="L20" s="240"/>
      <c r="M20" s="242"/>
      <c r="N20" s="244"/>
      <c r="O20" s="1061">
        <f>SUM(O21)</f>
        <v>9000000</v>
      </c>
      <c r="P20" s="235"/>
      <c r="Q20" s="997"/>
      <c r="R20" s="235"/>
      <c r="S20" s="246"/>
    </row>
    <row r="21" spans="1:19" ht="14.25" customHeight="1">
      <c r="A21" s="224"/>
      <c r="B21" s="225"/>
      <c r="C21" s="225"/>
      <c r="D21" s="226"/>
      <c r="E21" s="521"/>
      <c r="F21" s="1114" t="s">
        <v>1058</v>
      </c>
      <c r="G21" s="252">
        <v>25000</v>
      </c>
      <c r="H21" s="240" t="s">
        <v>277</v>
      </c>
      <c r="I21" s="241">
        <v>30</v>
      </c>
      <c r="J21" s="240" t="s">
        <v>1059</v>
      </c>
      <c r="K21" s="242">
        <v>12</v>
      </c>
      <c r="L21" s="240" t="s">
        <v>1059</v>
      </c>
      <c r="M21" s="1115">
        <v>1</v>
      </c>
      <c r="N21" s="244" t="s">
        <v>1060</v>
      </c>
      <c r="O21" s="245">
        <f>G21*I21*K21*M21</f>
        <v>9000000</v>
      </c>
      <c r="P21" s="235"/>
      <c r="Q21" s="997"/>
      <c r="R21" s="235"/>
      <c r="S21" s="246"/>
    </row>
    <row r="22" spans="1:19" ht="14.25" customHeight="1">
      <c r="A22" s="224"/>
      <c r="B22" s="225"/>
      <c r="C22" s="225"/>
      <c r="D22" s="226"/>
      <c r="E22" s="521"/>
      <c r="F22" s="998" t="s">
        <v>1066</v>
      </c>
      <c r="G22" s="252"/>
      <c r="H22" s="240"/>
      <c r="I22" s="241"/>
      <c r="J22" s="240"/>
      <c r="K22" s="242"/>
      <c r="L22" s="240"/>
      <c r="M22" s="242"/>
      <c r="N22" s="244"/>
      <c r="O22" s="1061">
        <f>SUM(O23)</f>
        <v>6000000</v>
      </c>
      <c r="P22" s="235"/>
      <c r="Q22" s="997"/>
      <c r="R22" s="235"/>
      <c r="S22" s="246"/>
    </row>
    <row r="23" spans="1:19" ht="14.25" customHeight="1">
      <c r="A23" s="224"/>
      <c r="B23" s="225"/>
      <c r="C23" s="225"/>
      <c r="D23" s="226"/>
      <c r="E23" s="521"/>
      <c r="F23" s="1114" t="s">
        <v>1058</v>
      </c>
      <c r="G23" s="252">
        <v>25000</v>
      </c>
      <c r="H23" s="240" t="s">
        <v>1059</v>
      </c>
      <c r="I23" s="241">
        <v>20</v>
      </c>
      <c r="J23" s="240" t="s">
        <v>277</v>
      </c>
      <c r="K23" s="242">
        <v>12</v>
      </c>
      <c r="L23" s="240" t="s">
        <v>1059</v>
      </c>
      <c r="M23" s="1115">
        <v>1</v>
      </c>
      <c r="N23" s="244" t="s">
        <v>283</v>
      </c>
      <c r="O23" s="245">
        <f>G23*I23*K23*M23</f>
        <v>6000000</v>
      </c>
      <c r="P23" s="235"/>
      <c r="Q23" s="997"/>
      <c r="R23" s="235"/>
      <c r="S23" s="246"/>
    </row>
    <row r="24" spans="1:19" ht="14.25" customHeight="1">
      <c r="A24" s="224"/>
      <c r="B24" s="225"/>
      <c r="C24" s="225"/>
      <c r="D24" s="226"/>
      <c r="E24" s="521"/>
      <c r="F24" s="998" t="s">
        <v>1067</v>
      </c>
      <c r="G24" s="252"/>
      <c r="H24" s="240"/>
      <c r="I24" s="241"/>
      <c r="J24" s="240"/>
      <c r="K24" s="242"/>
      <c r="L24" s="240"/>
      <c r="M24" s="242"/>
      <c r="N24" s="244"/>
      <c r="O24" s="1061">
        <f>SUM(O25:O29)</f>
        <v>91200000</v>
      </c>
      <c r="P24" s="235"/>
      <c r="Q24" s="997"/>
      <c r="R24" s="235"/>
      <c r="S24" s="246"/>
    </row>
    <row r="25" spans="1:19" ht="14.25" customHeight="1">
      <c r="A25" s="224"/>
      <c r="B25" s="225"/>
      <c r="C25" s="225"/>
      <c r="D25" s="226"/>
      <c r="E25" s="521"/>
      <c r="F25" s="1114" t="s">
        <v>1068</v>
      </c>
      <c r="G25" s="252">
        <v>55000</v>
      </c>
      <c r="H25" s="240" t="s">
        <v>1059</v>
      </c>
      <c r="I25" s="241">
        <v>70</v>
      </c>
      <c r="J25" s="240" t="s">
        <v>1069</v>
      </c>
      <c r="K25" s="242">
        <v>12</v>
      </c>
      <c r="L25" s="240" t="s">
        <v>1059</v>
      </c>
      <c r="M25" s="1115">
        <v>1</v>
      </c>
      <c r="N25" s="244" t="s">
        <v>1060</v>
      </c>
      <c r="O25" s="245">
        <f>G25*I25*K25*M25</f>
        <v>46200000</v>
      </c>
      <c r="P25" s="235"/>
      <c r="Q25" s="997"/>
      <c r="R25" s="235"/>
      <c r="S25" s="246"/>
    </row>
    <row r="26" spans="1:19" ht="14.25" customHeight="1">
      <c r="A26" s="224"/>
      <c r="B26" s="225"/>
      <c r="C26" s="225"/>
      <c r="D26" s="226"/>
      <c r="E26" s="521"/>
      <c r="F26" s="1114" t="s">
        <v>1058</v>
      </c>
      <c r="G26" s="252">
        <v>40000</v>
      </c>
      <c r="H26" s="240" t="s">
        <v>277</v>
      </c>
      <c r="I26" s="241">
        <v>60</v>
      </c>
      <c r="J26" s="240" t="s">
        <v>1059</v>
      </c>
      <c r="K26" s="242">
        <v>12</v>
      </c>
      <c r="L26" s="240" t="s">
        <v>277</v>
      </c>
      <c r="M26" s="1115">
        <v>1</v>
      </c>
      <c r="N26" s="244" t="s">
        <v>1060</v>
      </c>
      <c r="O26" s="245">
        <f>G26*I26*K26*M26</f>
        <v>28800000</v>
      </c>
      <c r="P26" s="235"/>
      <c r="Q26" s="997"/>
      <c r="R26" s="235"/>
      <c r="S26" s="246"/>
    </row>
    <row r="27" spans="1:19" ht="14.25" customHeight="1">
      <c r="A27" s="224"/>
      <c r="B27" s="225"/>
      <c r="C27" s="225"/>
      <c r="D27" s="226"/>
      <c r="E27" s="521"/>
      <c r="F27" s="998" t="s">
        <v>1070</v>
      </c>
      <c r="G27" s="252">
        <v>60000</v>
      </c>
      <c r="H27" s="240" t="s">
        <v>1059</v>
      </c>
      <c r="I27" s="241">
        <v>20</v>
      </c>
      <c r="J27" s="240" t="s">
        <v>1059</v>
      </c>
      <c r="K27" s="242">
        <v>12</v>
      </c>
      <c r="L27" s="240" t="s">
        <v>1059</v>
      </c>
      <c r="M27" s="1115">
        <v>1</v>
      </c>
      <c r="N27" s="244" t="s">
        <v>1060</v>
      </c>
      <c r="O27" s="245">
        <f>G27*I27*K27*M27</f>
        <v>14400000</v>
      </c>
      <c r="P27" s="235"/>
      <c r="Q27" s="997"/>
      <c r="R27" s="235"/>
      <c r="S27" s="246"/>
    </row>
    <row r="28" spans="1:19" ht="14.25" customHeight="1">
      <c r="A28" s="224"/>
      <c r="B28" s="225"/>
      <c r="C28" s="225"/>
      <c r="D28" s="226"/>
      <c r="E28" s="521"/>
      <c r="F28" s="998" t="s">
        <v>1071</v>
      </c>
      <c r="G28" s="252">
        <v>20000</v>
      </c>
      <c r="H28" s="240" t="s">
        <v>1059</v>
      </c>
      <c r="I28" s="241">
        <v>5</v>
      </c>
      <c r="J28" s="240" t="s">
        <v>277</v>
      </c>
      <c r="K28" s="242">
        <v>12</v>
      </c>
      <c r="L28" s="240" t="s">
        <v>1059</v>
      </c>
      <c r="M28" s="1115">
        <v>1</v>
      </c>
      <c r="N28" s="244" t="s">
        <v>1060</v>
      </c>
      <c r="O28" s="245">
        <f>G28*I28*K28*M28</f>
        <v>1200000</v>
      </c>
      <c r="P28" s="235"/>
      <c r="Q28" s="997"/>
      <c r="R28" s="235"/>
      <c r="S28" s="246"/>
    </row>
    <row r="29" spans="1:19" ht="14.25" customHeight="1">
      <c r="A29" s="224"/>
      <c r="B29" s="225"/>
      <c r="C29" s="225"/>
      <c r="D29" s="226"/>
      <c r="E29" s="521"/>
      <c r="F29" s="998" t="s">
        <v>1072</v>
      </c>
      <c r="G29" s="252">
        <v>5000</v>
      </c>
      <c r="H29" s="240" t="s">
        <v>277</v>
      </c>
      <c r="I29" s="241">
        <v>10</v>
      </c>
      <c r="J29" s="240" t="s">
        <v>277</v>
      </c>
      <c r="K29" s="242">
        <v>12</v>
      </c>
      <c r="L29" s="240" t="s">
        <v>277</v>
      </c>
      <c r="M29" s="1115">
        <v>1</v>
      </c>
      <c r="N29" s="244" t="s">
        <v>1060</v>
      </c>
      <c r="O29" s="245">
        <f>G29*I29*K29*M29</f>
        <v>600000</v>
      </c>
      <c r="P29" s="235"/>
      <c r="Q29" s="997"/>
      <c r="R29" s="235"/>
      <c r="S29" s="246"/>
    </row>
    <row r="30" spans="1:19" ht="14.25" customHeight="1">
      <c r="A30" s="224"/>
      <c r="B30" s="225"/>
      <c r="C30" s="225"/>
      <c r="D30" s="226"/>
      <c r="E30" s="521"/>
      <c r="F30" s="998" t="s">
        <v>1073</v>
      </c>
      <c r="G30" s="252"/>
      <c r="H30" s="240"/>
      <c r="I30" s="241"/>
      <c r="J30" s="240"/>
      <c r="K30" s="242"/>
      <c r="L30" s="240"/>
      <c r="M30" s="242"/>
      <c r="N30" s="244"/>
      <c r="O30" s="1061">
        <f>SUM(O31:O34)</f>
        <v>37600000</v>
      </c>
      <c r="P30" s="235"/>
      <c r="Q30" s="997"/>
      <c r="R30" s="235"/>
      <c r="S30" s="246"/>
    </row>
    <row r="31" spans="1:19" ht="14.25" customHeight="1">
      <c r="A31" s="224"/>
      <c r="B31" s="225"/>
      <c r="C31" s="225"/>
      <c r="D31" s="226"/>
      <c r="E31" s="521"/>
      <c r="F31" s="1114" t="s">
        <v>1074</v>
      </c>
      <c r="G31" s="252">
        <v>31000</v>
      </c>
      <c r="H31" s="240" t="s">
        <v>1059</v>
      </c>
      <c r="I31" s="241">
        <v>30</v>
      </c>
      <c r="J31" s="240" t="s">
        <v>277</v>
      </c>
      <c r="K31" s="242">
        <v>12</v>
      </c>
      <c r="L31" s="240" t="s">
        <v>1059</v>
      </c>
      <c r="M31" s="1115">
        <v>1</v>
      </c>
      <c r="N31" s="244" t="s">
        <v>283</v>
      </c>
      <c r="O31" s="245">
        <f>G31*I31*K31*M31</f>
        <v>11160000</v>
      </c>
      <c r="P31" s="235"/>
      <c r="Q31" s="997"/>
      <c r="R31" s="235"/>
      <c r="S31" s="246"/>
    </row>
    <row r="32" spans="1:19" ht="14.25" customHeight="1">
      <c r="A32" s="224"/>
      <c r="B32" s="225"/>
      <c r="C32" s="225"/>
      <c r="D32" s="226"/>
      <c r="E32" s="521"/>
      <c r="F32" s="1114" t="s">
        <v>1075</v>
      </c>
      <c r="G32" s="252">
        <v>81000</v>
      </c>
      <c r="H32" s="240" t="s">
        <v>1059</v>
      </c>
      <c r="I32" s="241">
        <v>30</v>
      </c>
      <c r="J32" s="240" t="s">
        <v>1059</v>
      </c>
      <c r="K32" s="242">
        <v>4</v>
      </c>
      <c r="L32" s="240" t="s">
        <v>1059</v>
      </c>
      <c r="M32" s="1115">
        <v>1</v>
      </c>
      <c r="N32" s="244" t="s">
        <v>283</v>
      </c>
      <c r="O32" s="245">
        <f>G32*I32*K32*M32</f>
        <v>9720000</v>
      </c>
      <c r="P32" s="235"/>
      <c r="Q32" s="997"/>
      <c r="R32" s="235"/>
      <c r="S32" s="246"/>
    </row>
    <row r="33" spans="1:19" ht="14.25" customHeight="1">
      <c r="A33" s="224"/>
      <c r="B33" s="225"/>
      <c r="C33" s="225"/>
      <c r="D33" s="226"/>
      <c r="E33" s="521"/>
      <c r="F33" s="1114" t="s">
        <v>1076</v>
      </c>
      <c r="G33" s="252">
        <v>20000</v>
      </c>
      <c r="H33" s="240" t="s">
        <v>1059</v>
      </c>
      <c r="I33" s="241">
        <v>60</v>
      </c>
      <c r="J33" s="240" t="s">
        <v>1059</v>
      </c>
      <c r="K33" s="242">
        <v>12</v>
      </c>
      <c r="L33" s="240" t="s">
        <v>277</v>
      </c>
      <c r="M33" s="1115">
        <v>1</v>
      </c>
      <c r="N33" s="244" t="s">
        <v>283</v>
      </c>
      <c r="O33" s="245">
        <f t="shared" ref="O33:O42" si="0">G33*I33*K33*M33</f>
        <v>14400000</v>
      </c>
      <c r="P33" s="235"/>
      <c r="Q33" s="997"/>
      <c r="R33" s="235"/>
      <c r="S33" s="246"/>
    </row>
    <row r="34" spans="1:19" ht="14.25" customHeight="1">
      <c r="A34" s="224"/>
      <c r="B34" s="225"/>
      <c r="C34" s="225"/>
      <c r="D34" s="226"/>
      <c r="E34" s="521"/>
      <c r="F34" s="1114" t="s">
        <v>2526</v>
      </c>
      <c r="G34" s="252">
        <v>58000</v>
      </c>
      <c r="H34" s="240" t="s">
        <v>277</v>
      </c>
      <c r="I34" s="241">
        <v>10</v>
      </c>
      <c r="J34" s="240" t="s">
        <v>277</v>
      </c>
      <c r="K34" s="242">
        <v>4</v>
      </c>
      <c r="L34" s="240" t="s">
        <v>277</v>
      </c>
      <c r="M34" s="1115">
        <v>1</v>
      </c>
      <c r="N34" s="244" t="s">
        <v>283</v>
      </c>
      <c r="O34" s="245">
        <f t="shared" si="0"/>
        <v>2320000</v>
      </c>
      <c r="P34" s="235"/>
      <c r="Q34" s="997"/>
      <c r="R34" s="235"/>
      <c r="S34" s="246"/>
    </row>
    <row r="35" spans="1:19" ht="14.25" customHeight="1">
      <c r="A35" s="224"/>
      <c r="B35" s="225"/>
      <c r="C35" s="225"/>
      <c r="D35" s="226"/>
      <c r="E35" s="521"/>
      <c r="F35" s="998" t="s">
        <v>1077</v>
      </c>
      <c r="G35" s="252"/>
      <c r="H35" s="240"/>
      <c r="I35" s="241"/>
      <c r="J35" s="240"/>
      <c r="K35" s="242"/>
      <c r="L35" s="240"/>
      <c r="M35" s="1115"/>
      <c r="N35" s="244"/>
      <c r="O35" s="1061">
        <f>SUM(O36:O37)</f>
        <v>6720000</v>
      </c>
      <c r="P35" s="235"/>
      <c r="Q35" s="997"/>
      <c r="R35" s="235"/>
      <c r="S35" s="246"/>
    </row>
    <row r="36" spans="1:19" ht="14.25" customHeight="1">
      <c r="A36" s="224"/>
      <c r="B36" s="225"/>
      <c r="C36" s="225"/>
      <c r="D36" s="226"/>
      <c r="E36" s="521"/>
      <c r="F36" s="1114" t="s">
        <v>1078</v>
      </c>
      <c r="G36" s="252">
        <v>100000</v>
      </c>
      <c r="H36" s="240" t="s">
        <v>277</v>
      </c>
      <c r="I36" s="241">
        <v>4</v>
      </c>
      <c r="J36" s="240" t="s">
        <v>277</v>
      </c>
      <c r="K36" s="242">
        <v>12</v>
      </c>
      <c r="L36" s="240" t="s">
        <v>277</v>
      </c>
      <c r="M36" s="1115">
        <v>1</v>
      </c>
      <c r="N36" s="244" t="s">
        <v>283</v>
      </c>
      <c r="O36" s="245">
        <f t="shared" si="0"/>
        <v>4800000</v>
      </c>
      <c r="P36" s="235"/>
      <c r="Q36" s="997"/>
      <c r="R36" s="235"/>
      <c r="S36" s="246"/>
    </row>
    <row r="37" spans="1:19" ht="14.25" customHeight="1">
      <c r="A37" s="224"/>
      <c r="B37" s="225"/>
      <c r="C37" s="225"/>
      <c r="D37" s="226"/>
      <c r="E37" s="521"/>
      <c r="F37" s="1114" t="s">
        <v>1079</v>
      </c>
      <c r="G37" s="252">
        <v>80000</v>
      </c>
      <c r="H37" s="240" t="s">
        <v>1059</v>
      </c>
      <c r="I37" s="241">
        <v>2</v>
      </c>
      <c r="J37" s="240" t="s">
        <v>277</v>
      </c>
      <c r="K37" s="242">
        <v>12</v>
      </c>
      <c r="L37" s="240" t="s">
        <v>277</v>
      </c>
      <c r="M37" s="1115">
        <v>1</v>
      </c>
      <c r="N37" s="244" t="s">
        <v>283</v>
      </c>
      <c r="O37" s="245">
        <f t="shared" si="0"/>
        <v>1920000</v>
      </c>
      <c r="P37" s="235"/>
      <c r="Q37" s="997"/>
      <c r="R37" s="235"/>
      <c r="S37" s="246"/>
    </row>
    <row r="38" spans="1:19" ht="14.25" customHeight="1">
      <c r="A38" s="224"/>
      <c r="B38" s="225"/>
      <c r="C38" s="225"/>
      <c r="D38" s="226"/>
      <c r="E38" s="521"/>
      <c r="F38" s="998" t="s">
        <v>1080</v>
      </c>
      <c r="G38" s="252"/>
      <c r="H38" s="240"/>
      <c r="I38" s="241"/>
      <c r="J38" s="240"/>
      <c r="K38" s="242"/>
      <c r="L38" s="240"/>
      <c r="M38" s="1115"/>
      <c r="N38" s="244"/>
      <c r="O38" s="1061">
        <f>SUM(O39)</f>
        <v>960000</v>
      </c>
      <c r="P38" s="235"/>
      <c r="Q38" s="997"/>
      <c r="R38" s="235"/>
      <c r="S38" s="246"/>
    </row>
    <row r="39" spans="1:19" ht="14.25" customHeight="1">
      <c r="A39" s="576"/>
      <c r="B39" s="278"/>
      <c r="C39" s="278"/>
      <c r="D39" s="279"/>
      <c r="E39" s="1116"/>
      <c r="F39" s="1117" t="s">
        <v>1058</v>
      </c>
      <c r="G39" s="579">
        <v>40000</v>
      </c>
      <c r="H39" s="283" t="s">
        <v>1059</v>
      </c>
      <c r="I39" s="1118">
        <v>2</v>
      </c>
      <c r="J39" s="283" t="s">
        <v>277</v>
      </c>
      <c r="K39" s="284">
        <v>12</v>
      </c>
      <c r="L39" s="283" t="s">
        <v>1069</v>
      </c>
      <c r="M39" s="1119">
        <v>1</v>
      </c>
      <c r="N39" s="285" t="s">
        <v>1060</v>
      </c>
      <c r="O39" s="286">
        <f t="shared" si="0"/>
        <v>960000</v>
      </c>
      <c r="P39" s="287"/>
      <c r="Q39" s="1027"/>
      <c r="R39" s="287"/>
      <c r="S39" s="288"/>
    </row>
    <row r="40" spans="1:19" ht="14.25" customHeight="1">
      <c r="A40" s="224"/>
      <c r="B40" s="225"/>
      <c r="C40" s="225"/>
      <c r="D40" s="226"/>
      <c r="E40" s="521"/>
      <c r="F40" s="998" t="s">
        <v>1081</v>
      </c>
      <c r="G40" s="252"/>
      <c r="H40" s="240"/>
      <c r="I40" s="241"/>
      <c r="J40" s="240"/>
      <c r="K40" s="242"/>
      <c r="L40" s="240"/>
      <c r="M40" s="1115"/>
      <c r="N40" s="244"/>
      <c r="O40" s="1061">
        <f>SUM(O41:O42)</f>
        <v>2700000</v>
      </c>
      <c r="P40" s="235"/>
      <c r="Q40" s="997"/>
      <c r="R40" s="235"/>
      <c r="S40" s="246"/>
    </row>
    <row r="41" spans="1:19" ht="14.25" customHeight="1">
      <c r="A41" s="224"/>
      <c r="B41" s="225"/>
      <c r="C41" s="225"/>
      <c r="D41" s="226"/>
      <c r="E41" s="521"/>
      <c r="F41" s="1114" t="s">
        <v>1068</v>
      </c>
      <c r="G41" s="252">
        <v>40000</v>
      </c>
      <c r="H41" s="240" t="s">
        <v>277</v>
      </c>
      <c r="I41" s="241">
        <v>3</v>
      </c>
      <c r="J41" s="240" t="s">
        <v>277</v>
      </c>
      <c r="K41" s="242">
        <v>12</v>
      </c>
      <c r="L41" s="240" t="s">
        <v>1059</v>
      </c>
      <c r="M41" s="1115">
        <v>1</v>
      </c>
      <c r="N41" s="244" t="s">
        <v>283</v>
      </c>
      <c r="O41" s="245">
        <f t="shared" si="0"/>
        <v>1440000</v>
      </c>
      <c r="P41" s="235"/>
      <c r="Q41" s="997"/>
      <c r="R41" s="235"/>
      <c r="S41" s="246"/>
    </row>
    <row r="42" spans="1:19" ht="14.25" customHeight="1">
      <c r="A42" s="224"/>
      <c r="B42" s="225"/>
      <c r="C42" s="225"/>
      <c r="D42" s="226"/>
      <c r="E42" s="521"/>
      <c r="F42" s="1114" t="s">
        <v>1079</v>
      </c>
      <c r="G42" s="252">
        <v>35000</v>
      </c>
      <c r="H42" s="240" t="s">
        <v>277</v>
      </c>
      <c r="I42" s="241">
        <v>3</v>
      </c>
      <c r="J42" s="240" t="s">
        <v>277</v>
      </c>
      <c r="K42" s="242">
        <v>12</v>
      </c>
      <c r="L42" s="240" t="s">
        <v>1059</v>
      </c>
      <c r="M42" s="1115">
        <v>1</v>
      </c>
      <c r="N42" s="244" t="s">
        <v>283</v>
      </c>
      <c r="O42" s="245">
        <f t="shared" si="0"/>
        <v>1260000</v>
      </c>
      <c r="P42" s="235"/>
      <c r="Q42" s="997"/>
      <c r="R42" s="235"/>
      <c r="S42" s="246"/>
    </row>
    <row r="43" spans="1:19" ht="14.25" customHeight="1">
      <c r="A43" s="224"/>
      <c r="B43" s="225"/>
      <c r="C43" s="225"/>
      <c r="D43" s="226"/>
      <c r="E43" s="521"/>
      <c r="F43" s="998" t="s">
        <v>1082</v>
      </c>
      <c r="G43" s="252"/>
      <c r="H43" s="240"/>
      <c r="I43" s="242"/>
      <c r="J43" s="240"/>
      <c r="K43" s="242"/>
      <c r="L43" s="240"/>
      <c r="M43" s="240"/>
      <c r="N43" s="244"/>
      <c r="O43" s="1061">
        <f>SUM(O44)</f>
        <v>12600000</v>
      </c>
      <c r="P43" s="235"/>
      <c r="Q43" s="997"/>
      <c r="R43" s="235"/>
      <c r="S43" s="246"/>
    </row>
    <row r="44" spans="1:19" ht="14.25" customHeight="1">
      <c r="A44" s="224"/>
      <c r="B44" s="225"/>
      <c r="C44" s="225"/>
      <c r="D44" s="226"/>
      <c r="E44" s="521"/>
      <c r="F44" s="1114" t="s">
        <v>1079</v>
      </c>
      <c r="G44" s="252">
        <v>35000</v>
      </c>
      <c r="H44" s="240" t="s">
        <v>277</v>
      </c>
      <c r="I44" s="241">
        <v>30</v>
      </c>
      <c r="J44" s="240" t="s">
        <v>277</v>
      </c>
      <c r="K44" s="242">
        <v>12</v>
      </c>
      <c r="L44" s="240" t="s">
        <v>1069</v>
      </c>
      <c r="M44" s="1115">
        <v>1</v>
      </c>
      <c r="N44" s="244" t="s">
        <v>283</v>
      </c>
      <c r="O44" s="245">
        <f>G44*I44*K44*M44</f>
        <v>12600000</v>
      </c>
      <c r="P44" s="235"/>
      <c r="Q44" s="997"/>
      <c r="R44" s="235"/>
      <c r="S44" s="246"/>
    </row>
    <row r="45" spans="1:19" ht="14.25" customHeight="1">
      <c r="A45" s="224"/>
      <c r="B45" s="225"/>
      <c r="C45" s="225"/>
      <c r="D45" s="226"/>
      <c r="E45" s="521"/>
      <c r="F45" s="998" t="s">
        <v>1083</v>
      </c>
      <c r="G45" s="252"/>
      <c r="H45" s="240"/>
      <c r="I45" s="242"/>
      <c r="J45" s="240"/>
      <c r="K45" s="242"/>
      <c r="L45" s="240"/>
      <c r="M45" s="240"/>
      <c r="N45" s="244"/>
      <c r="O45" s="1061">
        <f>SUM(O46:O49)</f>
        <v>60480000</v>
      </c>
      <c r="P45" s="235"/>
      <c r="Q45" s="997"/>
      <c r="R45" s="235"/>
      <c r="S45" s="246"/>
    </row>
    <row r="46" spans="1:19" ht="14.25" customHeight="1">
      <c r="A46" s="224"/>
      <c r="B46" s="225"/>
      <c r="C46" s="225"/>
      <c r="D46" s="226"/>
      <c r="E46" s="521"/>
      <c r="F46" s="1114" t="s">
        <v>1084</v>
      </c>
      <c r="G46" s="252">
        <v>50000</v>
      </c>
      <c r="H46" s="240" t="s">
        <v>277</v>
      </c>
      <c r="I46" s="241">
        <v>9</v>
      </c>
      <c r="J46" s="240" t="s">
        <v>1059</v>
      </c>
      <c r="K46" s="242">
        <v>12</v>
      </c>
      <c r="L46" s="240" t="s">
        <v>1059</v>
      </c>
      <c r="M46" s="1115">
        <v>4</v>
      </c>
      <c r="N46" s="244" t="s">
        <v>283</v>
      </c>
      <c r="O46" s="245">
        <f>G46*I46*K46*M46</f>
        <v>21600000</v>
      </c>
      <c r="P46" s="235"/>
      <c r="Q46" s="997"/>
      <c r="R46" s="235"/>
      <c r="S46" s="246"/>
    </row>
    <row r="47" spans="1:19" ht="14.25" customHeight="1">
      <c r="A47" s="224"/>
      <c r="B47" s="225"/>
      <c r="C47" s="225"/>
      <c r="D47" s="226"/>
      <c r="E47" s="521"/>
      <c r="F47" s="1114" t="s">
        <v>1085</v>
      </c>
      <c r="G47" s="252">
        <v>40000</v>
      </c>
      <c r="H47" s="240" t="s">
        <v>277</v>
      </c>
      <c r="I47" s="241">
        <v>9</v>
      </c>
      <c r="J47" s="240" t="s">
        <v>277</v>
      </c>
      <c r="K47" s="242">
        <v>12</v>
      </c>
      <c r="L47" s="240" t="s">
        <v>277</v>
      </c>
      <c r="M47" s="1115">
        <v>4</v>
      </c>
      <c r="N47" s="244" t="s">
        <v>283</v>
      </c>
      <c r="O47" s="245">
        <f>G47*I47*K47*M47</f>
        <v>17280000</v>
      </c>
      <c r="P47" s="235"/>
      <c r="Q47" s="997"/>
      <c r="R47" s="235"/>
      <c r="S47" s="246"/>
    </row>
    <row r="48" spans="1:19" ht="14.25" customHeight="1">
      <c r="A48" s="224"/>
      <c r="B48" s="225"/>
      <c r="C48" s="225"/>
      <c r="D48" s="226"/>
      <c r="E48" s="521"/>
      <c r="F48" s="1114" t="s">
        <v>1086</v>
      </c>
      <c r="G48" s="252">
        <v>55000</v>
      </c>
      <c r="H48" s="240" t="s">
        <v>277</v>
      </c>
      <c r="I48" s="241">
        <v>6</v>
      </c>
      <c r="J48" s="240" t="s">
        <v>277</v>
      </c>
      <c r="K48" s="242">
        <v>12</v>
      </c>
      <c r="L48" s="240" t="s">
        <v>277</v>
      </c>
      <c r="M48" s="1115">
        <v>3</v>
      </c>
      <c r="N48" s="244" t="s">
        <v>283</v>
      </c>
      <c r="O48" s="245">
        <f>G48*I48*K48*M48</f>
        <v>11880000</v>
      </c>
      <c r="P48" s="235"/>
      <c r="Q48" s="997"/>
      <c r="R48" s="235"/>
      <c r="S48" s="246"/>
    </row>
    <row r="49" spans="1:19" ht="14.25" customHeight="1">
      <c r="A49" s="224"/>
      <c r="B49" s="225"/>
      <c r="C49" s="225"/>
      <c r="D49" s="226"/>
      <c r="E49" s="521"/>
      <c r="F49" s="1114" t="s">
        <v>1087</v>
      </c>
      <c r="G49" s="252">
        <v>45000</v>
      </c>
      <c r="H49" s="240" t="s">
        <v>277</v>
      </c>
      <c r="I49" s="241">
        <v>6</v>
      </c>
      <c r="J49" s="240" t="s">
        <v>277</v>
      </c>
      <c r="K49" s="242">
        <v>12</v>
      </c>
      <c r="L49" s="240" t="s">
        <v>277</v>
      </c>
      <c r="M49" s="1115">
        <v>3</v>
      </c>
      <c r="N49" s="244" t="s">
        <v>283</v>
      </c>
      <c r="O49" s="245">
        <f>G49*I49*K49*M49</f>
        <v>9720000</v>
      </c>
      <c r="P49" s="235"/>
      <c r="Q49" s="997"/>
      <c r="R49" s="235"/>
      <c r="S49" s="246"/>
    </row>
    <row r="50" spans="1:19" ht="14.25" customHeight="1">
      <c r="A50" s="224"/>
      <c r="B50" s="225"/>
      <c r="C50" s="225"/>
      <c r="D50" s="226"/>
      <c r="E50" s="521"/>
      <c r="F50" s="1120" t="s">
        <v>2518</v>
      </c>
      <c r="G50" s="252"/>
      <c r="H50" s="240"/>
      <c r="I50" s="242"/>
      <c r="J50" s="240"/>
      <c r="K50" s="242"/>
      <c r="L50" s="240"/>
      <c r="M50" s="240"/>
      <c r="N50" s="244"/>
      <c r="O50" s="1061">
        <f>SUM(O51:O52)</f>
        <v>9600000</v>
      </c>
      <c r="P50" s="235"/>
      <c r="Q50" s="997"/>
      <c r="R50" s="235"/>
      <c r="S50" s="246"/>
    </row>
    <row r="51" spans="1:19" ht="14.25" customHeight="1">
      <c r="A51" s="224"/>
      <c r="B51" s="225"/>
      <c r="C51" s="225"/>
      <c r="D51" s="226"/>
      <c r="E51" s="521"/>
      <c r="F51" s="1114" t="s">
        <v>1058</v>
      </c>
      <c r="G51" s="252">
        <v>35000</v>
      </c>
      <c r="H51" s="240" t="s">
        <v>277</v>
      </c>
      <c r="I51" s="241">
        <v>10</v>
      </c>
      <c r="J51" s="240" t="s">
        <v>277</v>
      </c>
      <c r="K51" s="242">
        <v>12</v>
      </c>
      <c r="L51" s="240" t="s">
        <v>277</v>
      </c>
      <c r="M51" s="1115">
        <v>1</v>
      </c>
      <c r="N51" s="244" t="s">
        <v>283</v>
      </c>
      <c r="O51" s="245">
        <f>G51*I51*K51*M51</f>
        <v>4200000</v>
      </c>
      <c r="P51" s="235"/>
      <c r="Q51" s="997"/>
      <c r="R51" s="235"/>
      <c r="S51" s="246"/>
    </row>
    <row r="52" spans="1:19" ht="14.25" customHeight="1">
      <c r="A52" s="224"/>
      <c r="B52" s="225"/>
      <c r="C52" s="225"/>
      <c r="D52" s="226"/>
      <c r="E52" s="521"/>
      <c r="F52" s="1114" t="s">
        <v>1068</v>
      </c>
      <c r="G52" s="252">
        <v>45000</v>
      </c>
      <c r="H52" s="240" t="s">
        <v>277</v>
      </c>
      <c r="I52" s="241">
        <v>10</v>
      </c>
      <c r="J52" s="240" t="s">
        <v>1059</v>
      </c>
      <c r="K52" s="242">
        <v>12</v>
      </c>
      <c r="L52" s="240" t="s">
        <v>277</v>
      </c>
      <c r="M52" s="1115">
        <v>1</v>
      </c>
      <c r="N52" s="244" t="s">
        <v>283</v>
      </c>
      <c r="O52" s="245">
        <f>G52*I52*K52*M52</f>
        <v>5400000</v>
      </c>
      <c r="P52" s="235"/>
      <c r="Q52" s="997"/>
      <c r="R52" s="235"/>
      <c r="S52" s="246"/>
    </row>
    <row r="53" spans="1:19" ht="14.25" customHeight="1">
      <c r="A53" s="224"/>
      <c r="B53" s="225"/>
      <c r="C53" s="225"/>
      <c r="D53" s="226"/>
      <c r="E53" s="521"/>
      <c r="F53" s="998" t="s">
        <v>589</v>
      </c>
      <c r="G53" s="252"/>
      <c r="H53" s="240"/>
      <c r="I53" s="242"/>
      <c r="J53" s="240"/>
      <c r="K53" s="242"/>
      <c r="L53" s="240"/>
      <c r="M53" s="240"/>
      <c r="N53" s="244"/>
      <c r="O53" s="1061">
        <f>SUM(O54:O55)</f>
        <v>7800000</v>
      </c>
      <c r="P53" s="235"/>
      <c r="Q53" s="997"/>
      <c r="R53" s="235"/>
      <c r="S53" s="246"/>
    </row>
    <row r="54" spans="1:19" ht="14.25" customHeight="1">
      <c r="A54" s="224"/>
      <c r="B54" s="225"/>
      <c r="C54" s="225"/>
      <c r="D54" s="226"/>
      <c r="E54" s="521"/>
      <c r="F54" s="1114" t="s">
        <v>1079</v>
      </c>
      <c r="G54" s="252">
        <v>30000</v>
      </c>
      <c r="H54" s="240" t="s">
        <v>277</v>
      </c>
      <c r="I54" s="241">
        <v>10</v>
      </c>
      <c r="J54" s="240" t="s">
        <v>1059</v>
      </c>
      <c r="K54" s="242">
        <v>12</v>
      </c>
      <c r="L54" s="240" t="s">
        <v>1059</v>
      </c>
      <c r="M54" s="1115">
        <v>1</v>
      </c>
      <c r="N54" s="244" t="s">
        <v>283</v>
      </c>
      <c r="O54" s="245">
        <f>G54*I54*K54*M54</f>
        <v>3600000</v>
      </c>
      <c r="P54" s="235"/>
      <c r="Q54" s="997"/>
      <c r="R54" s="235"/>
      <c r="S54" s="246"/>
    </row>
    <row r="55" spans="1:19" ht="14.25" customHeight="1">
      <c r="A55" s="224"/>
      <c r="B55" s="225"/>
      <c r="C55" s="225"/>
      <c r="D55" s="226"/>
      <c r="E55" s="521"/>
      <c r="F55" s="1114" t="s">
        <v>1068</v>
      </c>
      <c r="G55" s="252">
        <v>35000</v>
      </c>
      <c r="H55" s="240" t="s">
        <v>1059</v>
      </c>
      <c r="I55" s="241">
        <v>10</v>
      </c>
      <c r="J55" s="240" t="s">
        <v>277</v>
      </c>
      <c r="K55" s="242">
        <v>12</v>
      </c>
      <c r="L55" s="240" t="s">
        <v>277</v>
      </c>
      <c r="M55" s="1115">
        <v>1</v>
      </c>
      <c r="N55" s="244" t="s">
        <v>1060</v>
      </c>
      <c r="O55" s="245">
        <f>G55*I55*K55*M55</f>
        <v>4200000</v>
      </c>
      <c r="P55" s="235"/>
      <c r="Q55" s="997"/>
      <c r="R55" s="235"/>
      <c r="S55" s="246"/>
    </row>
    <row r="56" spans="1:19" ht="14.25" customHeight="1">
      <c r="A56" s="224"/>
      <c r="B56" s="225"/>
      <c r="C56" s="225"/>
      <c r="D56" s="226"/>
      <c r="E56" s="521"/>
      <c r="F56" s="998" t="s">
        <v>1088</v>
      </c>
      <c r="G56" s="252"/>
      <c r="H56" s="240"/>
      <c r="I56" s="242"/>
      <c r="J56" s="240"/>
      <c r="K56" s="242"/>
      <c r="L56" s="240"/>
      <c r="M56" s="240"/>
      <c r="N56" s="244"/>
      <c r="O56" s="1061">
        <f>SUM(O57:O58)</f>
        <v>5700000</v>
      </c>
      <c r="P56" s="235"/>
      <c r="Q56" s="997"/>
      <c r="R56" s="235"/>
      <c r="S56" s="246"/>
    </row>
    <row r="57" spans="1:19" ht="14.25" customHeight="1">
      <c r="A57" s="224"/>
      <c r="B57" s="225"/>
      <c r="C57" s="225"/>
      <c r="D57" s="226"/>
      <c r="E57" s="521"/>
      <c r="F57" s="1114" t="s">
        <v>1079</v>
      </c>
      <c r="G57" s="252">
        <v>30000</v>
      </c>
      <c r="H57" s="240" t="s">
        <v>277</v>
      </c>
      <c r="I57" s="241">
        <v>10</v>
      </c>
      <c r="J57" s="240" t="s">
        <v>277</v>
      </c>
      <c r="K57" s="242">
        <v>12</v>
      </c>
      <c r="L57" s="240" t="s">
        <v>277</v>
      </c>
      <c r="M57" s="1115">
        <v>1</v>
      </c>
      <c r="N57" s="244" t="s">
        <v>283</v>
      </c>
      <c r="O57" s="245">
        <f>G57*I57*K57*M57</f>
        <v>3600000</v>
      </c>
      <c r="P57" s="235"/>
      <c r="Q57" s="997"/>
      <c r="R57" s="235"/>
      <c r="S57" s="246"/>
    </row>
    <row r="58" spans="1:19" ht="14.25" customHeight="1">
      <c r="A58" s="224"/>
      <c r="B58" s="225"/>
      <c r="C58" s="225"/>
      <c r="D58" s="226"/>
      <c r="E58" s="521"/>
      <c r="F58" s="1114" t="s">
        <v>1068</v>
      </c>
      <c r="G58" s="252">
        <v>35000</v>
      </c>
      <c r="H58" s="240" t="s">
        <v>1059</v>
      </c>
      <c r="I58" s="241">
        <v>5</v>
      </c>
      <c r="J58" s="240" t="s">
        <v>1059</v>
      </c>
      <c r="K58" s="242">
        <v>12</v>
      </c>
      <c r="L58" s="240" t="s">
        <v>277</v>
      </c>
      <c r="M58" s="1115">
        <v>1</v>
      </c>
      <c r="N58" s="244" t="s">
        <v>283</v>
      </c>
      <c r="O58" s="245">
        <f>G58*I58*K58*M58</f>
        <v>2100000</v>
      </c>
      <c r="P58" s="235"/>
      <c r="Q58" s="997"/>
      <c r="R58" s="235"/>
      <c r="S58" s="246"/>
    </row>
    <row r="59" spans="1:19" ht="14.25" customHeight="1">
      <c r="A59" s="224"/>
      <c r="B59" s="225"/>
      <c r="C59" s="225"/>
      <c r="D59" s="226"/>
      <c r="E59" s="521"/>
      <c r="F59" s="998" t="s">
        <v>1089</v>
      </c>
      <c r="G59" s="252"/>
      <c r="H59" s="240"/>
      <c r="I59" s="242"/>
      <c r="J59" s="240"/>
      <c r="K59" s="242"/>
      <c r="L59" s="240"/>
      <c r="M59" s="240"/>
      <c r="N59" s="244"/>
      <c r="O59" s="1061">
        <f>SUM(O60:O62)</f>
        <v>10560000</v>
      </c>
      <c r="P59" s="235"/>
      <c r="Q59" s="997"/>
      <c r="R59" s="235"/>
      <c r="S59" s="246"/>
    </row>
    <row r="60" spans="1:19" ht="14.25" customHeight="1">
      <c r="A60" s="224"/>
      <c r="B60" s="225"/>
      <c r="C60" s="225"/>
      <c r="D60" s="226"/>
      <c r="E60" s="521"/>
      <c r="F60" s="1114" t="s">
        <v>1079</v>
      </c>
      <c r="G60" s="252">
        <v>30000</v>
      </c>
      <c r="H60" s="240" t="s">
        <v>277</v>
      </c>
      <c r="I60" s="241">
        <v>2</v>
      </c>
      <c r="J60" s="240" t="s">
        <v>277</v>
      </c>
      <c r="K60" s="242">
        <v>12</v>
      </c>
      <c r="L60" s="240" t="s">
        <v>277</v>
      </c>
      <c r="M60" s="1115">
        <v>3</v>
      </c>
      <c r="N60" s="244" t="s">
        <v>283</v>
      </c>
      <c r="O60" s="245">
        <f>G60*I60*K60*M60</f>
        <v>2160000</v>
      </c>
      <c r="P60" s="235"/>
      <c r="Q60" s="997"/>
      <c r="R60" s="235"/>
      <c r="S60" s="246"/>
    </row>
    <row r="61" spans="1:19" ht="14.25" customHeight="1">
      <c r="A61" s="224"/>
      <c r="B61" s="225"/>
      <c r="C61" s="225"/>
      <c r="D61" s="226"/>
      <c r="E61" s="521"/>
      <c r="F61" s="1114" t="s">
        <v>1068</v>
      </c>
      <c r="G61" s="252">
        <v>35000</v>
      </c>
      <c r="H61" s="240" t="s">
        <v>277</v>
      </c>
      <c r="I61" s="241">
        <v>3</v>
      </c>
      <c r="J61" s="240" t="s">
        <v>277</v>
      </c>
      <c r="K61" s="242">
        <v>12</v>
      </c>
      <c r="L61" s="240" t="s">
        <v>1059</v>
      </c>
      <c r="M61" s="1115">
        <v>6</v>
      </c>
      <c r="N61" s="244" t="s">
        <v>283</v>
      </c>
      <c r="O61" s="245">
        <f>G61*I61*K61*M61</f>
        <v>7560000</v>
      </c>
      <c r="P61" s="235"/>
      <c r="Q61" s="997"/>
      <c r="R61" s="235"/>
      <c r="S61" s="246"/>
    </row>
    <row r="62" spans="1:19" ht="14.25" customHeight="1">
      <c r="A62" s="224"/>
      <c r="B62" s="225"/>
      <c r="C62" s="225"/>
      <c r="D62" s="226"/>
      <c r="E62" s="521"/>
      <c r="F62" s="1114" t="s">
        <v>1090</v>
      </c>
      <c r="G62" s="252">
        <v>10000</v>
      </c>
      <c r="H62" s="240" t="s">
        <v>1059</v>
      </c>
      <c r="I62" s="241">
        <v>7</v>
      </c>
      <c r="J62" s="240" t="s">
        <v>277</v>
      </c>
      <c r="K62" s="242">
        <v>12</v>
      </c>
      <c r="L62" s="240" t="s">
        <v>277</v>
      </c>
      <c r="M62" s="1115">
        <v>1</v>
      </c>
      <c r="N62" s="244" t="s">
        <v>283</v>
      </c>
      <c r="O62" s="245">
        <f>G62*I62*K62*M62</f>
        <v>840000</v>
      </c>
      <c r="P62" s="235"/>
      <c r="Q62" s="997"/>
      <c r="R62" s="235"/>
      <c r="S62" s="246"/>
    </row>
    <row r="63" spans="1:19" ht="14.25" customHeight="1">
      <c r="A63" s="224"/>
      <c r="B63" s="225"/>
      <c r="C63" s="225"/>
      <c r="D63" s="226"/>
      <c r="E63" s="521"/>
      <c r="F63" s="998" t="s">
        <v>1091</v>
      </c>
      <c r="G63" s="252"/>
      <c r="H63" s="240"/>
      <c r="I63" s="242"/>
      <c r="J63" s="240"/>
      <c r="K63" s="242"/>
      <c r="L63" s="240"/>
      <c r="M63" s="240"/>
      <c r="N63" s="244"/>
      <c r="O63" s="1061">
        <f>SUM(O64)</f>
        <v>6300000</v>
      </c>
      <c r="P63" s="235"/>
      <c r="Q63" s="997"/>
      <c r="R63" s="235"/>
      <c r="S63" s="246"/>
    </row>
    <row r="64" spans="1:19" ht="14.25" customHeight="1">
      <c r="A64" s="224"/>
      <c r="B64" s="225"/>
      <c r="C64" s="225"/>
      <c r="D64" s="226"/>
      <c r="E64" s="521"/>
      <c r="F64" s="1114" t="s">
        <v>1068</v>
      </c>
      <c r="G64" s="252">
        <v>35000</v>
      </c>
      <c r="H64" s="240" t="s">
        <v>277</v>
      </c>
      <c r="I64" s="241">
        <v>15</v>
      </c>
      <c r="J64" s="240" t="s">
        <v>277</v>
      </c>
      <c r="K64" s="242">
        <v>12</v>
      </c>
      <c r="L64" s="240" t="s">
        <v>277</v>
      </c>
      <c r="M64" s="1115">
        <v>1</v>
      </c>
      <c r="N64" s="244" t="s">
        <v>283</v>
      </c>
      <c r="O64" s="245">
        <f>G64*I64*K64*M64</f>
        <v>6300000</v>
      </c>
      <c r="P64" s="235"/>
      <c r="Q64" s="997"/>
      <c r="R64" s="235"/>
      <c r="S64" s="246"/>
    </row>
    <row r="65" spans="1:19" ht="14.25" customHeight="1">
      <c r="A65" s="224"/>
      <c r="B65" s="225"/>
      <c r="C65" s="225"/>
      <c r="D65" s="226"/>
      <c r="E65" s="521"/>
      <c r="F65" s="998" t="s">
        <v>1092</v>
      </c>
      <c r="G65" s="252"/>
      <c r="H65" s="240"/>
      <c r="I65" s="242"/>
      <c r="J65" s="240"/>
      <c r="K65" s="242"/>
      <c r="L65" s="240"/>
      <c r="M65" s="240"/>
      <c r="N65" s="244"/>
      <c r="O65" s="1061">
        <f>SUM(O66)</f>
        <v>10800000</v>
      </c>
      <c r="P65" s="235"/>
      <c r="Q65" s="997"/>
      <c r="R65" s="235"/>
      <c r="S65" s="246"/>
    </row>
    <row r="66" spans="1:19" ht="14.25" customHeight="1">
      <c r="A66" s="224"/>
      <c r="B66" s="225"/>
      <c r="C66" s="225"/>
      <c r="D66" s="226"/>
      <c r="E66" s="521"/>
      <c r="F66" s="1114" t="s">
        <v>1079</v>
      </c>
      <c r="G66" s="252">
        <v>30000</v>
      </c>
      <c r="H66" s="240" t="s">
        <v>277</v>
      </c>
      <c r="I66" s="241">
        <v>15</v>
      </c>
      <c r="J66" s="240" t="s">
        <v>277</v>
      </c>
      <c r="K66" s="242">
        <v>12</v>
      </c>
      <c r="L66" s="240" t="s">
        <v>277</v>
      </c>
      <c r="M66" s="1115">
        <v>2</v>
      </c>
      <c r="N66" s="244" t="s">
        <v>283</v>
      </c>
      <c r="O66" s="245">
        <f>G66*I66*K66*M66</f>
        <v>10800000</v>
      </c>
      <c r="P66" s="235"/>
      <c r="Q66" s="997"/>
      <c r="R66" s="235"/>
      <c r="S66" s="246"/>
    </row>
    <row r="67" spans="1:19" ht="14.25" customHeight="1">
      <c r="A67" s="224"/>
      <c r="B67" s="225"/>
      <c r="C67" s="225"/>
      <c r="D67" s="226"/>
      <c r="E67" s="521"/>
      <c r="F67" s="998" t="s">
        <v>1093</v>
      </c>
      <c r="G67" s="252"/>
      <c r="H67" s="240"/>
      <c r="I67" s="242"/>
      <c r="J67" s="240"/>
      <c r="K67" s="242"/>
      <c r="L67" s="240"/>
      <c r="M67" s="240"/>
      <c r="N67" s="244"/>
      <c r="O67" s="1061">
        <f>SUM(O68)</f>
        <v>10800000</v>
      </c>
      <c r="P67" s="235"/>
      <c r="Q67" s="997"/>
      <c r="R67" s="235"/>
      <c r="S67" s="246"/>
    </row>
    <row r="68" spans="1:19" ht="14.25" customHeight="1">
      <c r="A68" s="224"/>
      <c r="B68" s="225"/>
      <c r="C68" s="225"/>
      <c r="D68" s="226"/>
      <c r="E68" s="521"/>
      <c r="F68" s="1114" t="s">
        <v>1094</v>
      </c>
      <c r="G68" s="252">
        <v>30000</v>
      </c>
      <c r="H68" s="240" t="s">
        <v>277</v>
      </c>
      <c r="I68" s="241">
        <v>15</v>
      </c>
      <c r="J68" s="240" t="s">
        <v>277</v>
      </c>
      <c r="K68" s="242">
        <v>12</v>
      </c>
      <c r="L68" s="240" t="s">
        <v>277</v>
      </c>
      <c r="M68" s="1115">
        <v>2</v>
      </c>
      <c r="N68" s="244" t="s">
        <v>1060</v>
      </c>
      <c r="O68" s="245">
        <f>G68*I68*K68*M68</f>
        <v>10800000</v>
      </c>
      <c r="P68" s="235"/>
      <c r="Q68" s="997"/>
      <c r="R68" s="235"/>
      <c r="S68" s="246"/>
    </row>
    <row r="69" spans="1:19" ht="14.25" customHeight="1">
      <c r="A69" s="224"/>
      <c r="B69" s="225"/>
      <c r="C69" s="225"/>
      <c r="D69" s="226"/>
      <c r="E69" s="521"/>
      <c r="F69" s="998" t="s">
        <v>1095</v>
      </c>
      <c r="G69" s="252"/>
      <c r="H69" s="240"/>
      <c r="I69" s="242"/>
      <c r="J69" s="240"/>
      <c r="K69" s="242"/>
      <c r="L69" s="240"/>
      <c r="M69" s="240"/>
      <c r="N69" s="244"/>
      <c r="O69" s="1061">
        <f>SUM(O70:O71)</f>
        <v>13500000</v>
      </c>
      <c r="P69" s="235"/>
      <c r="Q69" s="997"/>
      <c r="R69" s="235"/>
      <c r="S69" s="246"/>
    </row>
    <row r="70" spans="1:19" ht="14.25" customHeight="1">
      <c r="A70" s="224"/>
      <c r="B70" s="225"/>
      <c r="C70" s="225"/>
      <c r="D70" s="226"/>
      <c r="E70" s="521"/>
      <c r="F70" s="1114" t="s">
        <v>1079</v>
      </c>
      <c r="G70" s="252">
        <v>40000</v>
      </c>
      <c r="H70" s="240" t="s">
        <v>277</v>
      </c>
      <c r="I70" s="241">
        <v>5</v>
      </c>
      <c r="J70" s="240" t="s">
        <v>277</v>
      </c>
      <c r="K70" s="242">
        <v>12</v>
      </c>
      <c r="L70" s="240" t="s">
        <v>1059</v>
      </c>
      <c r="M70" s="1115">
        <v>3</v>
      </c>
      <c r="N70" s="244" t="s">
        <v>283</v>
      </c>
      <c r="O70" s="245">
        <f>G70*I70*K70*M70</f>
        <v>7200000</v>
      </c>
      <c r="P70" s="235"/>
      <c r="Q70" s="997"/>
      <c r="R70" s="235"/>
      <c r="S70" s="246"/>
    </row>
    <row r="71" spans="1:19" ht="14.25" customHeight="1">
      <c r="A71" s="224"/>
      <c r="B71" s="225"/>
      <c r="C71" s="225"/>
      <c r="D71" s="226"/>
      <c r="E71" s="521"/>
      <c r="F71" s="1114" t="s">
        <v>1068</v>
      </c>
      <c r="G71" s="252">
        <v>35000</v>
      </c>
      <c r="H71" s="240" t="s">
        <v>277</v>
      </c>
      <c r="I71" s="241">
        <v>5</v>
      </c>
      <c r="J71" s="240" t="s">
        <v>277</v>
      </c>
      <c r="K71" s="242">
        <v>12</v>
      </c>
      <c r="L71" s="240" t="s">
        <v>277</v>
      </c>
      <c r="M71" s="1115">
        <v>3</v>
      </c>
      <c r="N71" s="244" t="s">
        <v>283</v>
      </c>
      <c r="O71" s="245">
        <f>G71*I71*K71*M71</f>
        <v>6300000</v>
      </c>
      <c r="P71" s="235"/>
      <c r="Q71" s="997"/>
      <c r="R71" s="235"/>
      <c r="S71" s="246"/>
    </row>
    <row r="72" spans="1:19" ht="14.25" customHeight="1">
      <c r="A72" s="224"/>
      <c r="B72" s="225"/>
      <c r="C72" s="225"/>
      <c r="D72" s="226"/>
      <c r="E72" s="521"/>
      <c r="F72" s="998" t="s">
        <v>1096</v>
      </c>
      <c r="G72" s="252"/>
      <c r="H72" s="240"/>
      <c r="I72" s="242"/>
      <c r="J72" s="240"/>
      <c r="K72" s="242"/>
      <c r="L72" s="240"/>
      <c r="M72" s="240"/>
      <c r="N72" s="244"/>
      <c r="O72" s="1061">
        <f>SUM(O73)</f>
        <v>3600000</v>
      </c>
      <c r="P72" s="235"/>
      <c r="Q72" s="997"/>
      <c r="R72" s="235"/>
      <c r="S72" s="246"/>
    </row>
    <row r="73" spans="1:19" ht="14.25" customHeight="1">
      <c r="A73" s="224"/>
      <c r="B73" s="225"/>
      <c r="C73" s="225"/>
      <c r="D73" s="226"/>
      <c r="E73" s="521"/>
      <c r="F73" s="1114" t="s">
        <v>1097</v>
      </c>
      <c r="G73" s="252">
        <v>30000</v>
      </c>
      <c r="H73" s="240" t="s">
        <v>277</v>
      </c>
      <c r="I73" s="241">
        <v>5</v>
      </c>
      <c r="J73" s="240" t="s">
        <v>277</v>
      </c>
      <c r="K73" s="242">
        <v>12</v>
      </c>
      <c r="L73" s="240" t="s">
        <v>277</v>
      </c>
      <c r="M73" s="1115">
        <v>2</v>
      </c>
      <c r="N73" s="244" t="s">
        <v>283</v>
      </c>
      <c r="O73" s="245">
        <f>G73*I73*K73*M73</f>
        <v>3600000</v>
      </c>
      <c r="P73" s="235"/>
      <c r="Q73" s="997"/>
      <c r="R73" s="235"/>
      <c r="S73" s="246"/>
    </row>
    <row r="74" spans="1:19" ht="14.25" customHeight="1">
      <c r="A74" s="224"/>
      <c r="B74" s="225"/>
      <c r="C74" s="225"/>
      <c r="D74" s="226"/>
      <c r="E74" s="521"/>
      <c r="F74" s="998" t="s">
        <v>1098</v>
      </c>
      <c r="G74" s="252"/>
      <c r="H74" s="240"/>
      <c r="I74" s="242"/>
      <c r="J74" s="240"/>
      <c r="K74" s="242"/>
      <c r="L74" s="240"/>
      <c r="M74" s="240"/>
      <c r="N74" s="244"/>
      <c r="O74" s="1061">
        <f>SUM(O75:O76)</f>
        <v>5400000</v>
      </c>
      <c r="P74" s="235"/>
      <c r="Q74" s="997"/>
      <c r="R74" s="235"/>
      <c r="S74" s="246"/>
    </row>
    <row r="75" spans="1:19" ht="14.25" customHeight="1">
      <c r="A75" s="224"/>
      <c r="B75" s="225"/>
      <c r="C75" s="225"/>
      <c r="D75" s="226"/>
      <c r="E75" s="521"/>
      <c r="F75" s="1114" t="s">
        <v>1079</v>
      </c>
      <c r="G75" s="252">
        <v>40000</v>
      </c>
      <c r="H75" s="240" t="s">
        <v>277</v>
      </c>
      <c r="I75" s="241">
        <v>5</v>
      </c>
      <c r="J75" s="240" t="s">
        <v>277</v>
      </c>
      <c r="K75" s="242">
        <v>12</v>
      </c>
      <c r="L75" s="240" t="s">
        <v>277</v>
      </c>
      <c r="M75" s="1115">
        <v>1</v>
      </c>
      <c r="N75" s="244" t="s">
        <v>1060</v>
      </c>
      <c r="O75" s="245">
        <f>G75*I75*K75*M75</f>
        <v>2400000</v>
      </c>
      <c r="P75" s="235"/>
      <c r="Q75" s="997"/>
      <c r="R75" s="235"/>
      <c r="S75" s="246"/>
    </row>
    <row r="76" spans="1:19" ht="14.25" customHeight="1">
      <c r="A76" s="224"/>
      <c r="B76" s="225"/>
      <c r="C76" s="225"/>
      <c r="D76" s="226"/>
      <c r="E76" s="521"/>
      <c r="F76" s="1114" t="s">
        <v>1068</v>
      </c>
      <c r="G76" s="252">
        <v>25000</v>
      </c>
      <c r="H76" s="240" t="s">
        <v>277</v>
      </c>
      <c r="I76" s="241">
        <v>10</v>
      </c>
      <c r="J76" s="240" t="s">
        <v>277</v>
      </c>
      <c r="K76" s="242">
        <v>12</v>
      </c>
      <c r="L76" s="240" t="s">
        <v>277</v>
      </c>
      <c r="M76" s="1115">
        <v>1</v>
      </c>
      <c r="N76" s="244" t="s">
        <v>283</v>
      </c>
      <c r="O76" s="245">
        <f>G76*I76*K76*M76</f>
        <v>3000000</v>
      </c>
      <c r="P76" s="235"/>
      <c r="Q76" s="997"/>
      <c r="R76" s="235"/>
      <c r="S76" s="246"/>
    </row>
    <row r="77" spans="1:19" ht="14.25" customHeight="1">
      <c r="A77" s="224"/>
      <c r="B77" s="225"/>
      <c r="C77" s="225"/>
      <c r="D77" s="226"/>
      <c r="E77" s="521"/>
      <c r="F77" s="998" t="s">
        <v>1099</v>
      </c>
      <c r="G77" s="252"/>
      <c r="H77" s="240"/>
      <c r="I77" s="242"/>
      <c r="J77" s="240"/>
      <c r="K77" s="242"/>
      <c r="L77" s="240"/>
      <c r="M77" s="240"/>
      <c r="N77" s="244"/>
      <c r="O77" s="1061">
        <f>SUM(O78:O80)</f>
        <v>10920000</v>
      </c>
      <c r="P77" s="235"/>
      <c r="Q77" s="997"/>
      <c r="R77" s="235"/>
      <c r="S77" s="246"/>
    </row>
    <row r="78" spans="1:19" ht="14.25" customHeight="1">
      <c r="A78" s="576"/>
      <c r="B78" s="278"/>
      <c r="C78" s="278"/>
      <c r="D78" s="279"/>
      <c r="E78" s="1116"/>
      <c r="F78" s="1117" t="s">
        <v>1058</v>
      </c>
      <c r="G78" s="579">
        <v>75000</v>
      </c>
      <c r="H78" s="283" t="s">
        <v>277</v>
      </c>
      <c r="I78" s="1118">
        <v>3</v>
      </c>
      <c r="J78" s="283" t="s">
        <v>277</v>
      </c>
      <c r="K78" s="284">
        <v>12</v>
      </c>
      <c r="L78" s="283" t="s">
        <v>277</v>
      </c>
      <c r="M78" s="1119">
        <v>1</v>
      </c>
      <c r="N78" s="285" t="s">
        <v>283</v>
      </c>
      <c r="O78" s="286">
        <f>G78*I78*K78*M78</f>
        <v>2700000</v>
      </c>
      <c r="P78" s="287"/>
      <c r="Q78" s="1027"/>
      <c r="R78" s="287"/>
      <c r="S78" s="288"/>
    </row>
    <row r="79" spans="1:19" ht="14.25" customHeight="1">
      <c r="A79" s="224"/>
      <c r="B79" s="225"/>
      <c r="C79" s="225"/>
      <c r="D79" s="226"/>
      <c r="E79" s="521"/>
      <c r="F79" s="1114" t="s">
        <v>1068</v>
      </c>
      <c r="G79" s="252">
        <v>95000</v>
      </c>
      <c r="H79" s="240" t="s">
        <v>277</v>
      </c>
      <c r="I79" s="241">
        <v>3</v>
      </c>
      <c r="J79" s="240" t="s">
        <v>1059</v>
      </c>
      <c r="K79" s="242">
        <v>12</v>
      </c>
      <c r="L79" s="240" t="s">
        <v>1100</v>
      </c>
      <c r="M79" s="1115">
        <v>1</v>
      </c>
      <c r="N79" s="244" t="s">
        <v>1060</v>
      </c>
      <c r="O79" s="245">
        <f>G79*I79*K79*M79</f>
        <v>3420000</v>
      </c>
      <c r="P79" s="235"/>
      <c r="Q79" s="997"/>
      <c r="R79" s="235"/>
      <c r="S79" s="246"/>
    </row>
    <row r="80" spans="1:19" ht="14.25" customHeight="1">
      <c r="A80" s="224"/>
      <c r="B80" s="225"/>
      <c r="C80" s="225"/>
      <c r="D80" s="226"/>
      <c r="E80" s="521"/>
      <c r="F80" s="1114" t="s">
        <v>1101</v>
      </c>
      <c r="G80" s="252">
        <v>200000</v>
      </c>
      <c r="H80" s="240" t="s">
        <v>277</v>
      </c>
      <c r="I80" s="241">
        <v>2</v>
      </c>
      <c r="J80" s="240" t="s">
        <v>277</v>
      </c>
      <c r="K80" s="242">
        <v>12</v>
      </c>
      <c r="L80" s="240" t="s">
        <v>277</v>
      </c>
      <c r="M80" s="1115">
        <v>1</v>
      </c>
      <c r="N80" s="244" t="s">
        <v>283</v>
      </c>
      <c r="O80" s="245">
        <f>G80*I80*K80*M80</f>
        <v>4800000</v>
      </c>
      <c r="P80" s="235"/>
      <c r="Q80" s="997"/>
      <c r="R80" s="235"/>
      <c r="S80" s="246"/>
    </row>
    <row r="81" spans="1:19" ht="14.25" customHeight="1">
      <c r="A81" s="224"/>
      <c r="B81" s="225"/>
      <c r="C81" s="225"/>
      <c r="D81" s="226"/>
      <c r="E81" s="521"/>
      <c r="F81" s="998" t="s">
        <v>1102</v>
      </c>
      <c r="G81" s="252"/>
      <c r="H81" s="240"/>
      <c r="I81" s="241"/>
      <c r="J81" s="240"/>
      <c r="K81" s="242"/>
      <c r="L81" s="240"/>
      <c r="M81" s="242"/>
      <c r="N81" s="244"/>
      <c r="O81" s="1061">
        <f>SUM(O82:O83)</f>
        <v>3900000</v>
      </c>
      <c r="P81" s="235"/>
      <c r="Q81" s="997"/>
      <c r="R81" s="235"/>
      <c r="S81" s="246"/>
    </row>
    <row r="82" spans="1:19" ht="14.25" customHeight="1">
      <c r="A82" s="224"/>
      <c r="B82" s="225"/>
      <c r="C82" s="225"/>
      <c r="D82" s="226"/>
      <c r="E82" s="521"/>
      <c r="F82" s="1114" t="s">
        <v>1058</v>
      </c>
      <c r="G82" s="252">
        <v>30000</v>
      </c>
      <c r="H82" s="240" t="s">
        <v>277</v>
      </c>
      <c r="I82" s="241">
        <v>5</v>
      </c>
      <c r="J82" s="240" t="s">
        <v>277</v>
      </c>
      <c r="K82" s="242">
        <v>12</v>
      </c>
      <c r="L82" s="240" t="s">
        <v>1059</v>
      </c>
      <c r="M82" s="1115">
        <v>1</v>
      </c>
      <c r="N82" s="244" t="s">
        <v>283</v>
      </c>
      <c r="O82" s="245">
        <f>G82*I82*K82*M82</f>
        <v>1800000</v>
      </c>
      <c r="P82" s="235"/>
      <c r="Q82" s="997"/>
      <c r="R82" s="235"/>
      <c r="S82" s="246"/>
    </row>
    <row r="83" spans="1:19" ht="14.25" customHeight="1">
      <c r="A83" s="224"/>
      <c r="B83" s="225"/>
      <c r="C83" s="225"/>
      <c r="D83" s="226"/>
      <c r="E83" s="521"/>
      <c r="F83" s="1114" t="s">
        <v>1068</v>
      </c>
      <c r="G83" s="252">
        <v>35000</v>
      </c>
      <c r="H83" s="240" t="s">
        <v>277</v>
      </c>
      <c r="I83" s="241">
        <v>5</v>
      </c>
      <c r="J83" s="240" t="s">
        <v>277</v>
      </c>
      <c r="K83" s="242">
        <v>12</v>
      </c>
      <c r="L83" s="240" t="s">
        <v>1059</v>
      </c>
      <c r="M83" s="1115">
        <v>1</v>
      </c>
      <c r="N83" s="244" t="s">
        <v>1103</v>
      </c>
      <c r="O83" s="245">
        <f>G83*I83*K83*M83</f>
        <v>2100000</v>
      </c>
      <c r="P83" s="235"/>
      <c r="Q83" s="997"/>
      <c r="R83" s="235"/>
      <c r="S83" s="246"/>
    </row>
    <row r="84" spans="1:19" ht="14.25" customHeight="1">
      <c r="A84" s="224"/>
      <c r="B84" s="225"/>
      <c r="C84" s="225"/>
      <c r="D84" s="226"/>
      <c r="E84" s="521"/>
      <c r="F84" s="1121" t="s">
        <v>1104</v>
      </c>
      <c r="G84" s="252"/>
      <c r="H84" s="240"/>
      <c r="I84" s="241"/>
      <c r="J84" s="240"/>
      <c r="K84" s="242"/>
      <c r="L84" s="240"/>
      <c r="M84" s="242"/>
      <c r="N84" s="244"/>
      <c r="O84" s="1061">
        <f>SUM(O85)</f>
        <v>3600000</v>
      </c>
      <c r="P84" s="235"/>
      <c r="Q84" s="997"/>
      <c r="R84" s="235"/>
      <c r="S84" s="246"/>
    </row>
    <row r="85" spans="1:19" ht="14.25" customHeight="1">
      <c r="A85" s="224"/>
      <c r="B85" s="225"/>
      <c r="C85" s="225"/>
      <c r="D85" s="226"/>
      <c r="E85" s="521"/>
      <c r="F85" s="1114" t="s">
        <v>1058</v>
      </c>
      <c r="G85" s="252">
        <v>30000</v>
      </c>
      <c r="H85" s="240" t="s">
        <v>277</v>
      </c>
      <c r="I85" s="241">
        <v>10</v>
      </c>
      <c r="J85" s="240" t="s">
        <v>277</v>
      </c>
      <c r="K85" s="242">
        <v>12</v>
      </c>
      <c r="L85" s="240" t="s">
        <v>1059</v>
      </c>
      <c r="M85" s="1115">
        <v>1</v>
      </c>
      <c r="N85" s="244" t="s">
        <v>1103</v>
      </c>
      <c r="O85" s="245">
        <f>G85*I85*K85*M85</f>
        <v>3600000</v>
      </c>
      <c r="P85" s="235"/>
      <c r="Q85" s="997"/>
      <c r="R85" s="235"/>
      <c r="S85" s="246"/>
    </row>
    <row r="86" spans="1:19" ht="14.25" customHeight="1">
      <c r="A86" s="224"/>
      <c r="B86" s="225"/>
      <c r="C86" s="225"/>
      <c r="D86" s="226"/>
      <c r="E86" s="521"/>
      <c r="F86" s="998" t="s">
        <v>1105</v>
      </c>
      <c r="G86" s="1113"/>
      <c r="H86" s="240"/>
      <c r="I86" s="242"/>
      <c r="J86" s="240"/>
      <c r="K86" s="240"/>
      <c r="L86" s="240"/>
      <c r="M86" s="240"/>
      <c r="N86" s="244"/>
      <c r="O86" s="1061">
        <f>SUM(O87)</f>
        <v>3600000</v>
      </c>
      <c r="P86" s="235"/>
      <c r="Q86" s="997"/>
      <c r="R86" s="235"/>
      <c r="S86" s="246"/>
    </row>
    <row r="87" spans="1:19" ht="14.25" customHeight="1">
      <c r="A87" s="224"/>
      <c r="B87" s="225"/>
      <c r="C87" s="225"/>
      <c r="D87" s="226"/>
      <c r="E87" s="521"/>
      <c r="F87" s="1114" t="s">
        <v>1106</v>
      </c>
      <c r="G87" s="252">
        <v>15000</v>
      </c>
      <c r="H87" s="240" t="s">
        <v>277</v>
      </c>
      <c r="I87" s="241">
        <v>20</v>
      </c>
      <c r="J87" s="240" t="s">
        <v>277</v>
      </c>
      <c r="K87" s="242">
        <v>12</v>
      </c>
      <c r="L87" s="240" t="s">
        <v>277</v>
      </c>
      <c r="M87" s="1115">
        <v>1</v>
      </c>
      <c r="N87" s="244" t="s">
        <v>283</v>
      </c>
      <c r="O87" s="245">
        <f>G87*I87*K87*M87</f>
        <v>3600000</v>
      </c>
      <c r="P87" s="235"/>
      <c r="Q87" s="997"/>
      <c r="R87" s="235"/>
      <c r="S87" s="246"/>
    </row>
    <row r="88" spans="1:19" ht="14.25" customHeight="1">
      <c r="A88" s="224"/>
      <c r="B88" s="225"/>
      <c r="C88" s="225"/>
      <c r="D88" s="226"/>
      <c r="E88" s="521"/>
      <c r="F88" s="998" t="s">
        <v>1107</v>
      </c>
      <c r="G88" s="252"/>
      <c r="H88" s="240"/>
      <c r="I88" s="241"/>
      <c r="J88" s="240"/>
      <c r="K88" s="242"/>
      <c r="L88" s="240"/>
      <c r="M88" s="242"/>
      <c r="N88" s="244"/>
      <c r="O88" s="1061">
        <f>SUM(O89:O91)</f>
        <v>10500000</v>
      </c>
      <c r="P88" s="235"/>
      <c r="Q88" s="997"/>
      <c r="R88" s="235"/>
      <c r="S88" s="246"/>
    </row>
    <row r="89" spans="1:19" ht="14.25" customHeight="1">
      <c r="A89" s="224"/>
      <c r="B89" s="225"/>
      <c r="C89" s="225"/>
      <c r="D89" s="226"/>
      <c r="E89" s="521"/>
      <c r="F89" s="1114" t="s">
        <v>1079</v>
      </c>
      <c r="G89" s="252">
        <v>35000</v>
      </c>
      <c r="H89" s="240" t="s">
        <v>277</v>
      </c>
      <c r="I89" s="241">
        <v>5</v>
      </c>
      <c r="J89" s="240" t="s">
        <v>277</v>
      </c>
      <c r="K89" s="242">
        <v>12</v>
      </c>
      <c r="L89" s="240" t="s">
        <v>277</v>
      </c>
      <c r="M89" s="1115">
        <v>1</v>
      </c>
      <c r="N89" s="244" t="s">
        <v>283</v>
      </c>
      <c r="O89" s="245">
        <f>G89*I89*K89*M89</f>
        <v>2100000</v>
      </c>
      <c r="P89" s="235"/>
      <c r="Q89" s="997"/>
      <c r="R89" s="235"/>
      <c r="S89" s="246"/>
    </row>
    <row r="90" spans="1:19" ht="14.25" customHeight="1">
      <c r="A90" s="224"/>
      <c r="B90" s="225"/>
      <c r="C90" s="225"/>
      <c r="D90" s="226"/>
      <c r="E90" s="521"/>
      <c r="F90" s="1114" t="s">
        <v>1108</v>
      </c>
      <c r="G90" s="252">
        <v>70000</v>
      </c>
      <c r="H90" s="240" t="s">
        <v>277</v>
      </c>
      <c r="I90" s="241">
        <v>5</v>
      </c>
      <c r="J90" s="240" t="s">
        <v>277</v>
      </c>
      <c r="K90" s="242">
        <v>12</v>
      </c>
      <c r="L90" s="240" t="s">
        <v>277</v>
      </c>
      <c r="M90" s="1115">
        <v>1</v>
      </c>
      <c r="N90" s="244" t="s">
        <v>283</v>
      </c>
      <c r="O90" s="245">
        <f>G90*I90*K90*M90</f>
        <v>4200000</v>
      </c>
      <c r="P90" s="235"/>
      <c r="Q90" s="997"/>
      <c r="R90" s="235"/>
      <c r="S90" s="246"/>
    </row>
    <row r="91" spans="1:19" ht="14.25" customHeight="1">
      <c r="A91" s="224"/>
      <c r="B91" s="225"/>
      <c r="C91" s="225"/>
      <c r="D91" s="226"/>
      <c r="E91" s="521"/>
      <c r="F91" s="1114" t="s">
        <v>1068</v>
      </c>
      <c r="G91" s="252">
        <v>35000</v>
      </c>
      <c r="H91" s="240" t="s">
        <v>277</v>
      </c>
      <c r="I91" s="241">
        <v>10</v>
      </c>
      <c r="J91" s="240" t="s">
        <v>277</v>
      </c>
      <c r="K91" s="242">
        <v>12</v>
      </c>
      <c r="L91" s="240" t="s">
        <v>1069</v>
      </c>
      <c r="M91" s="1115">
        <v>1</v>
      </c>
      <c r="N91" s="244" t="s">
        <v>1103</v>
      </c>
      <c r="O91" s="245">
        <f>G91*I91*K91*M91</f>
        <v>4200000</v>
      </c>
      <c r="P91" s="235"/>
      <c r="Q91" s="997"/>
      <c r="R91" s="235"/>
      <c r="S91" s="246"/>
    </row>
    <row r="92" spans="1:19" ht="14.25" customHeight="1">
      <c r="A92" s="224"/>
      <c r="B92" s="225"/>
      <c r="C92" s="225"/>
      <c r="D92" s="226"/>
      <c r="E92" s="521"/>
      <c r="F92" s="998" t="s">
        <v>1109</v>
      </c>
      <c r="G92" s="252"/>
      <c r="H92" s="240"/>
      <c r="I92" s="241"/>
      <c r="J92" s="240"/>
      <c r="K92" s="242"/>
      <c r="L92" s="240"/>
      <c r="M92" s="242"/>
      <c r="N92" s="244"/>
      <c r="O92" s="1061">
        <f>SUM(O93)</f>
        <v>4500000</v>
      </c>
      <c r="P92" s="235"/>
      <c r="Q92" s="997"/>
      <c r="R92" s="235"/>
      <c r="S92" s="246"/>
    </row>
    <row r="93" spans="1:19" ht="14.25" customHeight="1">
      <c r="A93" s="224"/>
      <c r="B93" s="225"/>
      <c r="C93" s="225"/>
      <c r="D93" s="226"/>
      <c r="E93" s="521"/>
      <c r="F93" s="1114" t="s">
        <v>1079</v>
      </c>
      <c r="G93" s="252">
        <v>25000</v>
      </c>
      <c r="H93" s="240" t="s">
        <v>277</v>
      </c>
      <c r="I93" s="241">
        <v>15</v>
      </c>
      <c r="J93" s="240" t="s">
        <v>277</v>
      </c>
      <c r="K93" s="242">
        <v>12</v>
      </c>
      <c r="L93" s="240" t="s">
        <v>277</v>
      </c>
      <c r="M93" s="1115">
        <v>1</v>
      </c>
      <c r="N93" s="244" t="s">
        <v>283</v>
      </c>
      <c r="O93" s="245">
        <f>G93*I93*K93*M93</f>
        <v>4500000</v>
      </c>
      <c r="P93" s="235"/>
      <c r="Q93" s="997"/>
      <c r="R93" s="235"/>
      <c r="S93" s="246"/>
    </row>
    <row r="94" spans="1:19" ht="14.25" customHeight="1">
      <c r="A94" s="224"/>
      <c r="B94" s="225"/>
      <c r="C94" s="225"/>
      <c r="D94" s="226"/>
      <c r="E94" s="521"/>
      <c r="F94" s="998" t="s">
        <v>1110</v>
      </c>
      <c r="G94" s="252"/>
      <c r="H94" s="240"/>
      <c r="I94" s="242"/>
      <c r="J94" s="240"/>
      <c r="K94" s="242"/>
      <c r="L94" s="240"/>
      <c r="M94" s="240"/>
      <c r="N94" s="244"/>
      <c r="O94" s="1061">
        <f>SUM(O95:O96)</f>
        <v>8400000</v>
      </c>
      <c r="P94" s="235"/>
      <c r="Q94" s="997"/>
      <c r="R94" s="235"/>
      <c r="S94" s="246"/>
    </row>
    <row r="95" spans="1:19" ht="14.25" customHeight="1">
      <c r="A95" s="224"/>
      <c r="B95" s="225"/>
      <c r="C95" s="225"/>
      <c r="D95" s="226"/>
      <c r="E95" s="521"/>
      <c r="F95" s="1114" t="s">
        <v>1079</v>
      </c>
      <c r="G95" s="252">
        <v>45000</v>
      </c>
      <c r="H95" s="240" t="s">
        <v>277</v>
      </c>
      <c r="I95" s="241">
        <v>5</v>
      </c>
      <c r="J95" s="240" t="s">
        <v>277</v>
      </c>
      <c r="K95" s="242">
        <v>12</v>
      </c>
      <c r="L95" s="240" t="s">
        <v>277</v>
      </c>
      <c r="M95" s="1115">
        <v>2</v>
      </c>
      <c r="N95" s="244" t="s">
        <v>283</v>
      </c>
      <c r="O95" s="245">
        <f>G95*I95*K95*M95</f>
        <v>5400000</v>
      </c>
      <c r="P95" s="235"/>
      <c r="Q95" s="997"/>
      <c r="R95" s="235"/>
      <c r="S95" s="246"/>
    </row>
    <row r="96" spans="1:19" ht="14.25" customHeight="1">
      <c r="A96" s="224"/>
      <c r="B96" s="225"/>
      <c r="C96" s="225"/>
      <c r="D96" s="226"/>
      <c r="E96" s="521"/>
      <c r="F96" s="1114" t="s">
        <v>1068</v>
      </c>
      <c r="G96" s="252">
        <v>50000</v>
      </c>
      <c r="H96" s="240" t="s">
        <v>277</v>
      </c>
      <c r="I96" s="241">
        <v>5</v>
      </c>
      <c r="J96" s="240" t="s">
        <v>277</v>
      </c>
      <c r="K96" s="242">
        <v>12</v>
      </c>
      <c r="L96" s="240" t="s">
        <v>277</v>
      </c>
      <c r="M96" s="1115">
        <v>1</v>
      </c>
      <c r="N96" s="244" t="s">
        <v>283</v>
      </c>
      <c r="O96" s="245">
        <f>G96*I96*K96*M96</f>
        <v>3000000</v>
      </c>
      <c r="P96" s="235"/>
      <c r="Q96" s="997"/>
      <c r="R96" s="235"/>
      <c r="S96" s="246"/>
    </row>
    <row r="97" spans="1:21" ht="14.25" customHeight="1">
      <c r="A97" s="224"/>
      <c r="B97" s="225"/>
      <c r="C97" s="225"/>
      <c r="D97" s="226"/>
      <c r="E97" s="521"/>
      <c r="F97" s="998" t="s">
        <v>593</v>
      </c>
      <c r="G97" s="252"/>
      <c r="H97" s="240"/>
      <c r="I97" s="242"/>
      <c r="J97" s="240"/>
      <c r="K97" s="242"/>
      <c r="L97" s="240"/>
      <c r="M97" s="240"/>
      <c r="N97" s="244"/>
      <c r="O97" s="1061">
        <f>SUM(O98:O99)</f>
        <v>12600000</v>
      </c>
      <c r="P97" s="235"/>
      <c r="Q97" s="997"/>
      <c r="R97" s="235"/>
      <c r="S97" s="246"/>
    </row>
    <row r="98" spans="1:21" ht="14.25" customHeight="1">
      <c r="A98" s="224"/>
      <c r="B98" s="225"/>
      <c r="C98" s="225"/>
      <c r="D98" s="226"/>
      <c r="E98" s="521"/>
      <c r="F98" s="1114" t="s">
        <v>1079</v>
      </c>
      <c r="G98" s="252">
        <v>40000</v>
      </c>
      <c r="H98" s="240" t="s">
        <v>277</v>
      </c>
      <c r="I98" s="241">
        <v>10</v>
      </c>
      <c r="J98" s="240" t="s">
        <v>277</v>
      </c>
      <c r="K98" s="242">
        <v>12</v>
      </c>
      <c r="L98" s="240" t="s">
        <v>277</v>
      </c>
      <c r="M98" s="1115">
        <v>2</v>
      </c>
      <c r="N98" s="244" t="s">
        <v>283</v>
      </c>
      <c r="O98" s="245">
        <f>G98*I98*K98*M98</f>
        <v>9600000</v>
      </c>
      <c r="P98" s="235"/>
      <c r="Q98" s="997"/>
      <c r="R98" s="235"/>
      <c r="S98" s="246"/>
    </row>
    <row r="99" spans="1:21" ht="14.25" customHeight="1">
      <c r="A99" s="224"/>
      <c r="B99" s="225"/>
      <c r="C99" s="225"/>
      <c r="D99" s="226"/>
      <c r="E99" s="521"/>
      <c r="F99" s="1114" t="s">
        <v>1068</v>
      </c>
      <c r="G99" s="252">
        <v>50000</v>
      </c>
      <c r="H99" s="240" t="s">
        <v>277</v>
      </c>
      <c r="I99" s="241">
        <v>5</v>
      </c>
      <c r="J99" s="240" t="s">
        <v>277</v>
      </c>
      <c r="K99" s="242">
        <v>12</v>
      </c>
      <c r="L99" s="240" t="s">
        <v>277</v>
      </c>
      <c r="M99" s="1115">
        <v>1</v>
      </c>
      <c r="N99" s="244" t="s">
        <v>283</v>
      </c>
      <c r="O99" s="245">
        <f>G99*I99*K99*M99</f>
        <v>3000000</v>
      </c>
      <c r="P99" s="235"/>
      <c r="Q99" s="997"/>
      <c r="R99" s="235"/>
      <c r="S99" s="246"/>
    </row>
    <row r="100" spans="1:21" ht="14.25" customHeight="1">
      <c r="A100" s="224"/>
      <c r="B100" s="225"/>
      <c r="C100" s="225"/>
      <c r="D100" s="226"/>
      <c r="E100" s="255" t="s">
        <v>1111</v>
      </c>
      <c r="F100" s="66"/>
      <c r="G100" s="228"/>
      <c r="H100" s="66"/>
      <c r="I100" s="66"/>
      <c r="J100" s="66"/>
      <c r="K100" s="66"/>
      <c r="L100" s="66"/>
      <c r="M100" s="66"/>
      <c r="N100" s="230"/>
      <c r="O100" s="66"/>
      <c r="P100" s="171">
        <f>SUM(O101,O104:O116)</f>
        <v>280440000</v>
      </c>
      <c r="Q100" s="171">
        <v>45200000</v>
      </c>
      <c r="R100" s="171">
        <f>+P100-Q100</f>
        <v>235240000</v>
      </c>
      <c r="S100" s="172">
        <f>+R100/Q100</f>
        <v>5.2044247787610622</v>
      </c>
    </row>
    <row r="101" spans="1:21" ht="14.25" customHeight="1">
      <c r="A101" s="224"/>
      <c r="B101" s="225"/>
      <c r="C101" s="225"/>
      <c r="D101" s="226"/>
      <c r="E101" s="521"/>
      <c r="F101" s="240" t="s">
        <v>1112</v>
      </c>
      <c r="G101" s="249"/>
      <c r="H101" s="240"/>
      <c r="I101" s="241"/>
      <c r="J101" s="240"/>
      <c r="K101" s="1122"/>
      <c r="L101" s="240"/>
      <c r="M101" s="240"/>
      <c r="N101" s="244"/>
      <c r="O101" s="1061">
        <f>SUM(O102:O103)</f>
        <v>7800000</v>
      </c>
      <c r="P101" s="235"/>
      <c r="Q101" s="997"/>
      <c r="R101" s="235"/>
      <c r="S101" s="246"/>
    </row>
    <row r="102" spans="1:21" ht="14.25" customHeight="1">
      <c r="A102" s="224"/>
      <c r="B102" s="225"/>
      <c r="C102" s="225"/>
      <c r="D102" s="226"/>
      <c r="E102" s="521"/>
      <c r="F102" s="998" t="s">
        <v>2527</v>
      </c>
      <c r="G102" s="252">
        <v>15000</v>
      </c>
      <c r="H102" s="240" t="s">
        <v>1113</v>
      </c>
      <c r="I102" s="241">
        <v>10</v>
      </c>
      <c r="J102" s="240" t="s">
        <v>1114</v>
      </c>
      <c r="K102" s="1122">
        <v>5</v>
      </c>
      <c r="L102" s="240" t="s">
        <v>1115</v>
      </c>
      <c r="M102" s="256">
        <v>10</v>
      </c>
      <c r="N102" s="244" t="s">
        <v>1116</v>
      </c>
      <c r="O102" s="245">
        <f>G102*I102*K102*M102</f>
        <v>7500000</v>
      </c>
      <c r="P102" s="235"/>
      <c r="Q102" s="997"/>
      <c r="R102" s="235"/>
      <c r="S102" s="246"/>
      <c r="U102" s="275"/>
    </row>
    <row r="103" spans="1:21" ht="14.25" customHeight="1">
      <c r="A103" s="224"/>
      <c r="B103" s="225"/>
      <c r="C103" s="225"/>
      <c r="D103" s="226"/>
      <c r="E103" s="521"/>
      <c r="F103" s="998" t="s">
        <v>2528</v>
      </c>
      <c r="G103" s="252">
        <v>10000</v>
      </c>
      <c r="H103" s="240" t="s">
        <v>1113</v>
      </c>
      <c r="I103" s="241">
        <v>3</v>
      </c>
      <c r="J103" s="240" t="s">
        <v>1114</v>
      </c>
      <c r="K103" s="242">
        <v>1</v>
      </c>
      <c r="L103" s="240" t="s">
        <v>1113</v>
      </c>
      <c r="M103" s="256">
        <v>10</v>
      </c>
      <c r="N103" s="244" t="s">
        <v>1116</v>
      </c>
      <c r="O103" s="245">
        <f>G103*I103*K103*M103</f>
        <v>300000</v>
      </c>
      <c r="P103" s="235"/>
      <c r="Q103" s="997"/>
      <c r="R103" s="235"/>
      <c r="S103" s="246"/>
    </row>
    <row r="104" spans="1:21" ht="14.25" customHeight="1">
      <c r="A104" s="224"/>
      <c r="B104" s="225"/>
      <c r="C104" s="225"/>
      <c r="D104" s="226"/>
      <c r="E104" s="521"/>
      <c r="F104" s="240" t="s">
        <v>1117</v>
      </c>
      <c r="G104" s="249">
        <v>10000</v>
      </c>
      <c r="H104" s="240" t="s">
        <v>109</v>
      </c>
      <c r="I104" s="241">
        <v>100</v>
      </c>
      <c r="J104" s="240" t="s">
        <v>109</v>
      </c>
      <c r="K104" s="256">
        <v>3</v>
      </c>
      <c r="L104" s="240"/>
      <c r="M104" s="240"/>
      <c r="N104" s="244" t="s">
        <v>110</v>
      </c>
      <c r="O104" s="249">
        <f>G104*I104*K104</f>
        <v>3000000</v>
      </c>
      <c r="P104" s="235"/>
      <c r="Q104" s="997"/>
      <c r="R104" s="235"/>
      <c r="S104" s="246"/>
    </row>
    <row r="105" spans="1:21" ht="14.25" customHeight="1">
      <c r="A105" s="224"/>
      <c r="B105" s="225"/>
      <c r="C105" s="225"/>
      <c r="D105" s="226"/>
      <c r="E105" s="521"/>
      <c r="F105" s="240" t="s">
        <v>1118</v>
      </c>
      <c r="G105" s="249">
        <v>60000</v>
      </c>
      <c r="H105" s="240" t="s">
        <v>109</v>
      </c>
      <c r="I105" s="241">
        <v>2</v>
      </c>
      <c r="J105" s="240" t="s">
        <v>1114</v>
      </c>
      <c r="K105" s="242">
        <v>12</v>
      </c>
      <c r="L105" s="240"/>
      <c r="M105" s="240"/>
      <c r="N105" s="244" t="s">
        <v>110</v>
      </c>
      <c r="O105" s="249">
        <f>G105*I105*K105</f>
        <v>1440000</v>
      </c>
      <c r="P105" s="235"/>
      <c r="Q105" s="997"/>
      <c r="R105" s="235"/>
      <c r="S105" s="246"/>
    </row>
    <row r="106" spans="1:21" ht="14.25" customHeight="1">
      <c r="A106" s="224"/>
      <c r="B106" s="225"/>
      <c r="C106" s="225"/>
      <c r="D106" s="226"/>
      <c r="E106" s="521"/>
      <c r="F106" s="240" t="s">
        <v>1119</v>
      </c>
      <c r="G106" s="249">
        <v>80000</v>
      </c>
      <c r="H106" s="240" t="s">
        <v>109</v>
      </c>
      <c r="I106" s="241">
        <v>1800</v>
      </c>
      <c r="J106" s="240"/>
      <c r="K106" s="242"/>
      <c r="L106" s="240"/>
      <c r="M106" s="240"/>
      <c r="N106" s="244" t="s">
        <v>110</v>
      </c>
      <c r="O106" s="249">
        <f t="shared" ref="O106:O115" si="1">G106*I106</f>
        <v>144000000</v>
      </c>
      <c r="P106" s="235"/>
      <c r="Q106" s="997"/>
      <c r="R106" s="235"/>
      <c r="S106" s="246"/>
    </row>
    <row r="107" spans="1:21" ht="14.25" customHeight="1">
      <c r="A107" s="224"/>
      <c r="B107" s="225"/>
      <c r="C107" s="225"/>
      <c r="D107" s="226"/>
      <c r="E107" s="521"/>
      <c r="F107" s="240" t="s">
        <v>1120</v>
      </c>
      <c r="G107" s="249">
        <v>15000</v>
      </c>
      <c r="H107" s="240" t="s">
        <v>109</v>
      </c>
      <c r="I107" s="241">
        <v>2000</v>
      </c>
      <c r="J107" s="240"/>
      <c r="K107" s="242"/>
      <c r="L107" s="240"/>
      <c r="M107" s="240"/>
      <c r="N107" s="244" t="s">
        <v>110</v>
      </c>
      <c r="O107" s="249">
        <f t="shared" si="1"/>
        <v>30000000</v>
      </c>
      <c r="P107" s="235"/>
      <c r="Q107" s="997"/>
      <c r="R107" s="235"/>
      <c r="S107" s="246"/>
    </row>
    <row r="108" spans="1:21" ht="14.25" customHeight="1">
      <c r="A108" s="224"/>
      <c r="B108" s="225"/>
      <c r="C108" s="225"/>
      <c r="D108" s="226"/>
      <c r="E108" s="521"/>
      <c r="F108" s="240" t="s">
        <v>1121</v>
      </c>
      <c r="G108" s="249">
        <v>10000</v>
      </c>
      <c r="H108" s="240" t="s">
        <v>109</v>
      </c>
      <c r="I108" s="241">
        <v>500</v>
      </c>
      <c r="J108" s="240"/>
      <c r="K108" s="256"/>
      <c r="L108" s="240"/>
      <c r="M108" s="240"/>
      <c r="N108" s="244" t="s">
        <v>110</v>
      </c>
      <c r="O108" s="249">
        <f t="shared" si="1"/>
        <v>5000000</v>
      </c>
      <c r="P108" s="235"/>
      <c r="Q108" s="997"/>
      <c r="R108" s="235"/>
      <c r="S108" s="246"/>
    </row>
    <row r="109" spans="1:21" ht="14.25" customHeight="1">
      <c r="A109" s="224"/>
      <c r="B109" s="225"/>
      <c r="C109" s="225"/>
      <c r="D109" s="226"/>
      <c r="E109" s="521"/>
      <c r="F109" s="240" t="s">
        <v>1122</v>
      </c>
      <c r="G109" s="249">
        <v>5000</v>
      </c>
      <c r="H109" s="240" t="s">
        <v>109</v>
      </c>
      <c r="I109" s="241">
        <v>1000</v>
      </c>
      <c r="J109" s="240"/>
      <c r="K109" s="242"/>
      <c r="L109" s="240"/>
      <c r="M109" s="240"/>
      <c r="N109" s="244" t="s">
        <v>110</v>
      </c>
      <c r="O109" s="249">
        <f t="shared" si="1"/>
        <v>5000000</v>
      </c>
      <c r="P109" s="235"/>
      <c r="Q109" s="997"/>
      <c r="R109" s="235"/>
      <c r="S109" s="246"/>
    </row>
    <row r="110" spans="1:21" ht="14.25" customHeight="1">
      <c r="A110" s="224"/>
      <c r="B110" s="225"/>
      <c r="C110" s="225"/>
      <c r="D110" s="226"/>
      <c r="E110" s="521"/>
      <c r="F110" s="240" t="s">
        <v>1123</v>
      </c>
      <c r="G110" s="249">
        <v>10000</v>
      </c>
      <c r="H110" s="240" t="s">
        <v>109</v>
      </c>
      <c r="I110" s="241">
        <v>1000</v>
      </c>
      <c r="J110" s="240"/>
      <c r="K110" s="242"/>
      <c r="L110" s="240"/>
      <c r="M110" s="240"/>
      <c r="N110" s="244" t="s">
        <v>110</v>
      </c>
      <c r="O110" s="249">
        <f t="shared" si="1"/>
        <v>10000000</v>
      </c>
      <c r="P110" s="235"/>
      <c r="Q110" s="997"/>
      <c r="R110" s="235"/>
      <c r="S110" s="246"/>
    </row>
    <row r="111" spans="1:21" ht="14.25" customHeight="1">
      <c r="A111" s="224"/>
      <c r="B111" s="225"/>
      <c r="C111" s="225"/>
      <c r="D111" s="226"/>
      <c r="E111" s="521"/>
      <c r="F111" s="240" t="s">
        <v>1124</v>
      </c>
      <c r="G111" s="249">
        <v>1000000</v>
      </c>
      <c r="H111" s="240" t="s">
        <v>109</v>
      </c>
      <c r="I111" s="265">
        <v>1</v>
      </c>
      <c r="J111" s="240"/>
      <c r="K111" s="242"/>
      <c r="L111" s="240"/>
      <c r="M111" s="240"/>
      <c r="N111" s="244" t="s">
        <v>110</v>
      </c>
      <c r="O111" s="249">
        <f t="shared" si="1"/>
        <v>1000000</v>
      </c>
      <c r="P111" s="235"/>
      <c r="Q111" s="997"/>
      <c r="R111" s="235"/>
      <c r="S111" s="246"/>
    </row>
    <row r="112" spans="1:21" ht="14.25" customHeight="1">
      <c r="A112" s="224"/>
      <c r="B112" s="225"/>
      <c r="C112" s="225"/>
      <c r="D112" s="226"/>
      <c r="E112" s="521"/>
      <c r="F112" s="240" t="s">
        <v>1125</v>
      </c>
      <c r="G112" s="249">
        <v>40000000</v>
      </c>
      <c r="H112" s="240" t="s">
        <v>109</v>
      </c>
      <c r="I112" s="265">
        <v>1</v>
      </c>
      <c r="J112" s="240"/>
      <c r="K112" s="242"/>
      <c r="L112" s="240"/>
      <c r="M112" s="240"/>
      <c r="N112" s="244" t="s">
        <v>110</v>
      </c>
      <c r="O112" s="249">
        <f t="shared" si="1"/>
        <v>40000000</v>
      </c>
      <c r="P112" s="235"/>
      <c r="Q112" s="997"/>
      <c r="R112" s="235"/>
      <c r="S112" s="246"/>
    </row>
    <row r="113" spans="1:21" ht="14.25" customHeight="1">
      <c r="A113" s="224"/>
      <c r="B113" s="225"/>
      <c r="C113" s="225"/>
      <c r="D113" s="226"/>
      <c r="E113" s="521"/>
      <c r="F113" s="240" t="s">
        <v>1126</v>
      </c>
      <c r="G113" s="249">
        <v>10000000</v>
      </c>
      <c r="H113" s="240" t="s">
        <v>109</v>
      </c>
      <c r="I113" s="265">
        <v>1</v>
      </c>
      <c r="J113" s="240"/>
      <c r="K113" s="242"/>
      <c r="L113" s="240"/>
      <c r="M113" s="240"/>
      <c r="N113" s="244" t="s">
        <v>110</v>
      </c>
      <c r="O113" s="249">
        <f t="shared" si="1"/>
        <v>10000000</v>
      </c>
      <c r="P113" s="235"/>
      <c r="Q113" s="997"/>
      <c r="R113" s="235"/>
      <c r="S113" s="246"/>
    </row>
    <row r="114" spans="1:21" ht="14.25" customHeight="1">
      <c r="A114" s="224"/>
      <c r="B114" s="225"/>
      <c r="C114" s="225"/>
      <c r="D114" s="226"/>
      <c r="E114" s="521"/>
      <c r="F114" s="240" t="s">
        <v>1127</v>
      </c>
      <c r="G114" s="249">
        <v>10000</v>
      </c>
      <c r="H114" s="240" t="s">
        <v>109</v>
      </c>
      <c r="I114" s="241">
        <v>2000</v>
      </c>
      <c r="J114" s="240"/>
      <c r="K114" s="242"/>
      <c r="L114" s="240"/>
      <c r="M114" s="240"/>
      <c r="N114" s="244" t="s">
        <v>110</v>
      </c>
      <c r="O114" s="249">
        <f t="shared" si="1"/>
        <v>20000000</v>
      </c>
      <c r="P114" s="235"/>
      <c r="Q114" s="997"/>
      <c r="R114" s="235"/>
      <c r="S114" s="246"/>
    </row>
    <row r="115" spans="1:21" ht="14.25" customHeight="1">
      <c r="A115" s="224"/>
      <c r="B115" s="225"/>
      <c r="C115" s="225"/>
      <c r="D115" s="226"/>
      <c r="E115" s="521"/>
      <c r="F115" s="240" t="s">
        <v>1128</v>
      </c>
      <c r="G115" s="249">
        <v>2000000</v>
      </c>
      <c r="H115" s="240" t="s">
        <v>109</v>
      </c>
      <c r="I115" s="265">
        <v>1</v>
      </c>
      <c r="J115" s="240"/>
      <c r="K115" s="242"/>
      <c r="L115" s="240"/>
      <c r="M115" s="240"/>
      <c r="N115" s="244" t="s">
        <v>110</v>
      </c>
      <c r="O115" s="249">
        <f t="shared" si="1"/>
        <v>2000000</v>
      </c>
      <c r="P115" s="235"/>
      <c r="Q115" s="997"/>
      <c r="R115" s="235"/>
      <c r="S115" s="246"/>
    </row>
    <row r="116" spans="1:21" ht="14.25" customHeight="1">
      <c r="A116" s="576"/>
      <c r="B116" s="278"/>
      <c r="C116" s="278"/>
      <c r="D116" s="279"/>
      <c r="E116" s="1116"/>
      <c r="F116" s="283" t="s">
        <v>1129</v>
      </c>
      <c r="G116" s="282">
        <v>60000</v>
      </c>
      <c r="H116" s="283" t="s">
        <v>109</v>
      </c>
      <c r="I116" s="1118">
        <v>20</v>
      </c>
      <c r="J116" s="283" t="s">
        <v>109</v>
      </c>
      <c r="K116" s="284">
        <v>1</v>
      </c>
      <c r="L116" s="283"/>
      <c r="M116" s="283"/>
      <c r="N116" s="285" t="s">
        <v>110</v>
      </c>
      <c r="O116" s="282">
        <f>G116*I116*K116</f>
        <v>1200000</v>
      </c>
      <c r="P116" s="287"/>
      <c r="Q116" s="1027"/>
      <c r="R116" s="287"/>
      <c r="S116" s="288"/>
    </row>
    <row r="117" spans="1:21" s="192" customFormat="1" ht="14.25" customHeight="1">
      <c r="A117" s="204"/>
      <c r="B117" s="222"/>
      <c r="C117" s="222"/>
      <c r="D117" s="206" t="s">
        <v>1130</v>
      </c>
      <c r="E117" s="205"/>
      <c r="F117" s="209"/>
      <c r="G117" s="208"/>
      <c r="H117" s="209"/>
      <c r="I117" s="209"/>
      <c r="J117" s="209"/>
      <c r="K117" s="209"/>
      <c r="L117" s="209"/>
      <c r="M117" s="209"/>
      <c r="N117" s="210"/>
      <c r="O117" s="209"/>
      <c r="P117" s="211">
        <f>SUM(P118+P121)</f>
        <v>21200000</v>
      </c>
      <c r="Q117" s="211">
        <f>SUM(Q118+Q121)</f>
        <v>24500000</v>
      </c>
      <c r="R117" s="211">
        <f>+P117-Q117</f>
        <v>-3300000</v>
      </c>
      <c r="S117" s="212">
        <f>+R117/Q117</f>
        <v>-0.13469387755102041</v>
      </c>
    </row>
    <row r="118" spans="1:21" ht="14.25" customHeight="1">
      <c r="A118" s="224"/>
      <c r="B118" s="225"/>
      <c r="C118" s="225"/>
      <c r="D118" s="226"/>
      <c r="E118" s="255" t="s">
        <v>1131</v>
      </c>
      <c r="F118" s="66"/>
      <c r="G118" s="228"/>
      <c r="H118" s="66"/>
      <c r="I118" s="66"/>
      <c r="J118" s="66"/>
      <c r="K118" s="66"/>
      <c r="L118" s="66"/>
      <c r="M118" s="66"/>
      <c r="N118" s="230"/>
      <c r="O118" s="66"/>
      <c r="P118" s="171">
        <f>ROUNDUP(O119,-3)</f>
        <v>20000000</v>
      </c>
      <c r="Q118" s="171">
        <v>24500000</v>
      </c>
      <c r="R118" s="171">
        <f>+P118-Q118</f>
        <v>-4500000</v>
      </c>
      <c r="S118" s="172">
        <f>+R118/Q118</f>
        <v>-0.18367346938775511</v>
      </c>
    </row>
    <row r="119" spans="1:21" ht="14.25" customHeight="1">
      <c r="A119" s="224"/>
      <c r="B119" s="225"/>
      <c r="C119" s="225"/>
      <c r="D119" s="226"/>
      <c r="E119" s="521"/>
      <c r="F119" s="240" t="s">
        <v>341</v>
      </c>
      <c r="G119" s="249"/>
      <c r="H119" s="240"/>
      <c r="I119" s="240"/>
      <c r="J119" s="240"/>
      <c r="K119" s="240"/>
      <c r="L119" s="240"/>
      <c r="M119" s="240"/>
      <c r="N119" s="244"/>
      <c r="O119" s="251">
        <f>SUM(O120)</f>
        <v>20000000</v>
      </c>
      <c r="P119" s="235"/>
      <c r="Q119" s="997"/>
      <c r="R119" s="235"/>
      <c r="S119" s="246"/>
    </row>
    <row r="120" spans="1:21" ht="14.25" customHeight="1">
      <c r="A120" s="224"/>
      <c r="B120" s="225"/>
      <c r="C120" s="225"/>
      <c r="D120" s="226"/>
      <c r="E120" s="521"/>
      <c r="F120" s="998" t="s">
        <v>1132</v>
      </c>
      <c r="G120" s="252">
        <v>20000000</v>
      </c>
      <c r="H120" s="240" t="s">
        <v>109</v>
      </c>
      <c r="I120" s="265">
        <v>1</v>
      </c>
      <c r="J120" s="240"/>
      <c r="K120" s="242"/>
      <c r="L120" s="240"/>
      <c r="M120" s="240"/>
      <c r="N120" s="244" t="s">
        <v>110</v>
      </c>
      <c r="O120" s="245">
        <f>G120*I120</f>
        <v>20000000</v>
      </c>
      <c r="P120" s="235"/>
      <c r="Q120" s="997"/>
      <c r="R120" s="235"/>
      <c r="S120" s="246"/>
    </row>
    <row r="121" spans="1:21" ht="14.25" customHeight="1">
      <c r="A121" s="224"/>
      <c r="B121" s="225"/>
      <c r="C121" s="225"/>
      <c r="D121" s="1029"/>
      <c r="E121" s="66" t="s">
        <v>1133</v>
      </c>
      <c r="F121" s="66"/>
      <c r="G121" s="228"/>
      <c r="H121" s="66"/>
      <c r="I121" s="66"/>
      <c r="J121" s="66"/>
      <c r="K121" s="66"/>
      <c r="L121" s="66"/>
      <c r="M121" s="66"/>
      <c r="N121" s="230"/>
      <c r="O121" s="66"/>
      <c r="P121" s="171">
        <f>O122</f>
        <v>1200000</v>
      </c>
      <c r="Q121" s="171">
        <v>0</v>
      </c>
      <c r="R121" s="171">
        <f>+P121-Q121</f>
        <v>1200000</v>
      </c>
      <c r="S121" s="172">
        <v>1</v>
      </c>
    </row>
    <row r="122" spans="1:21" ht="14.25" customHeight="1">
      <c r="A122" s="224"/>
      <c r="B122" s="225"/>
      <c r="C122" s="225"/>
      <c r="D122" s="1029"/>
      <c r="E122" s="240"/>
      <c r="F122" s="240" t="s">
        <v>1134</v>
      </c>
      <c r="G122" s="249"/>
      <c r="H122" s="240"/>
      <c r="I122" s="241"/>
      <c r="J122" s="240"/>
      <c r="K122" s="242"/>
      <c r="L122" s="240"/>
      <c r="M122" s="240"/>
      <c r="N122" s="244"/>
      <c r="O122" s="251">
        <f>SUM(O123:O123)</f>
        <v>1200000</v>
      </c>
      <c r="P122" s="235"/>
      <c r="Q122" s="997"/>
      <c r="R122" s="235"/>
      <c r="S122" s="246"/>
    </row>
    <row r="123" spans="1:21" ht="14.25" customHeight="1">
      <c r="A123" s="224"/>
      <c r="B123" s="225"/>
      <c r="C123" s="225"/>
      <c r="D123" s="1123"/>
      <c r="E123" s="998"/>
      <c r="F123" s="998" t="s">
        <v>1135</v>
      </c>
      <c r="G123" s="252">
        <v>60000</v>
      </c>
      <c r="H123" s="240" t="s">
        <v>1113</v>
      </c>
      <c r="I123" s="241">
        <v>20</v>
      </c>
      <c r="J123" s="240"/>
      <c r="K123" s="242"/>
      <c r="L123" s="240"/>
      <c r="M123" s="240"/>
      <c r="N123" s="244" t="s">
        <v>1116</v>
      </c>
      <c r="O123" s="249">
        <f>SUM(G123*I123)</f>
        <v>1200000</v>
      </c>
      <c r="P123" s="235"/>
      <c r="Q123" s="997"/>
      <c r="R123" s="235"/>
      <c r="S123" s="246"/>
    </row>
    <row r="124" spans="1:21" ht="14.25" customHeight="1">
      <c r="A124" s="224"/>
      <c r="B124" s="225"/>
      <c r="C124" s="222"/>
      <c r="D124" s="214" t="s">
        <v>1136</v>
      </c>
      <c r="E124" s="266"/>
      <c r="F124" s="217"/>
      <c r="G124" s="216"/>
      <c r="H124" s="217"/>
      <c r="I124" s="217"/>
      <c r="J124" s="217"/>
      <c r="K124" s="217"/>
      <c r="L124" s="217"/>
      <c r="M124" s="217"/>
      <c r="N124" s="219"/>
      <c r="O124" s="217"/>
      <c r="P124" s="220">
        <f>SUM(P125:P127)</f>
        <v>75462000</v>
      </c>
      <c r="Q124" s="220">
        <f>SUM(Q125:Q127)</f>
        <v>52787000</v>
      </c>
      <c r="R124" s="220">
        <f>+P124-Q124</f>
        <v>22675000</v>
      </c>
      <c r="S124" s="221">
        <f>+R124/Q124</f>
        <v>0.42955651959762819</v>
      </c>
    </row>
    <row r="125" spans="1:21" ht="14.25" customHeight="1">
      <c r="A125" s="224"/>
      <c r="B125" s="225"/>
      <c r="C125" s="225"/>
      <c r="D125" s="226"/>
      <c r="E125" s="255" t="s">
        <v>1137</v>
      </c>
      <c r="F125" s="66"/>
      <c r="G125" s="228"/>
      <c r="H125" s="66"/>
      <c r="I125" s="66"/>
      <c r="J125" s="66"/>
      <c r="K125" s="66"/>
      <c r="L125" s="66"/>
      <c r="M125" s="66"/>
      <c r="N125" s="230"/>
      <c r="O125" s="66"/>
      <c r="P125" s="171">
        <f>ROUNDUP(O126+O130,-3)</f>
        <v>75462000</v>
      </c>
      <c r="Q125" s="171">
        <v>52787000</v>
      </c>
      <c r="R125" s="171">
        <f>+P125-Q125</f>
        <v>22675000</v>
      </c>
      <c r="S125" s="172">
        <f>+R125/Q125</f>
        <v>0.42955651959762819</v>
      </c>
    </row>
    <row r="126" spans="1:21" ht="14.25" customHeight="1">
      <c r="A126" s="224"/>
      <c r="B126" s="225"/>
      <c r="C126" s="225"/>
      <c r="D126" s="226"/>
      <c r="E126" s="521"/>
      <c r="F126" s="240" t="s">
        <v>1138</v>
      </c>
      <c r="G126" s="249"/>
      <c r="H126" s="240"/>
      <c r="I126" s="240"/>
      <c r="J126" s="240"/>
      <c r="K126" s="240"/>
      <c r="L126" s="240"/>
      <c r="M126" s="240"/>
      <c r="N126" s="244"/>
      <c r="O126" s="251">
        <f>SUM(O127:O129)</f>
        <v>66961200</v>
      </c>
      <c r="P126" s="235"/>
      <c r="Q126" s="997"/>
      <c r="R126" s="235"/>
      <c r="S126" s="246"/>
      <c r="U126" s="275"/>
    </row>
    <row r="127" spans="1:21" ht="14.25" customHeight="1">
      <c r="A127" s="224"/>
      <c r="B127" s="225"/>
      <c r="C127" s="225"/>
      <c r="D127" s="226"/>
      <c r="E127" s="521"/>
      <c r="F127" s="998" t="s">
        <v>1139</v>
      </c>
      <c r="G127" s="252">
        <v>3300</v>
      </c>
      <c r="H127" s="240" t="s">
        <v>1113</v>
      </c>
      <c r="I127" s="241">
        <v>49</v>
      </c>
      <c r="J127" s="240" t="s">
        <v>109</v>
      </c>
      <c r="K127" s="1122">
        <v>236</v>
      </c>
      <c r="L127" s="240"/>
      <c r="M127" s="242"/>
      <c r="N127" s="244" t="s">
        <v>283</v>
      </c>
      <c r="O127" s="245">
        <f>G127*I127*K127</f>
        <v>38161200</v>
      </c>
      <c r="P127" s="235"/>
      <c r="Q127" s="997"/>
      <c r="R127" s="235"/>
      <c r="S127" s="246"/>
    </row>
    <row r="128" spans="1:21" ht="14.25" customHeight="1">
      <c r="A128" s="224"/>
      <c r="B128" s="225"/>
      <c r="C128" s="225"/>
      <c r="D128" s="226"/>
      <c r="E128" s="521"/>
      <c r="F128" s="998" t="s">
        <v>1140</v>
      </c>
      <c r="G128" s="252">
        <v>80000</v>
      </c>
      <c r="H128" s="240" t="s">
        <v>1113</v>
      </c>
      <c r="I128" s="241">
        <v>20</v>
      </c>
      <c r="J128" s="240" t="s">
        <v>109</v>
      </c>
      <c r="K128" s="242">
        <v>12</v>
      </c>
      <c r="L128" s="240"/>
      <c r="M128" s="242"/>
      <c r="N128" s="244" t="s">
        <v>1116</v>
      </c>
      <c r="O128" s="245">
        <f>G128*I128*K128</f>
        <v>19200000</v>
      </c>
      <c r="P128" s="235"/>
      <c r="Q128" s="997"/>
      <c r="R128" s="235"/>
      <c r="S128" s="246"/>
      <c r="U128" s="275"/>
    </row>
    <row r="129" spans="1:19" ht="14.25" customHeight="1">
      <c r="A129" s="224"/>
      <c r="B129" s="225"/>
      <c r="C129" s="225"/>
      <c r="D129" s="226"/>
      <c r="E129" s="521"/>
      <c r="F129" s="998" t="s">
        <v>1141</v>
      </c>
      <c r="G129" s="252">
        <v>80000</v>
      </c>
      <c r="H129" s="240" t="s">
        <v>1113</v>
      </c>
      <c r="I129" s="241">
        <v>10</v>
      </c>
      <c r="J129" s="240" t="s">
        <v>109</v>
      </c>
      <c r="K129" s="242">
        <v>12</v>
      </c>
      <c r="L129" s="240"/>
      <c r="M129" s="242"/>
      <c r="N129" s="244" t="s">
        <v>283</v>
      </c>
      <c r="O129" s="245">
        <f>G129*I129*K129</f>
        <v>9600000</v>
      </c>
      <c r="P129" s="235"/>
      <c r="Q129" s="997"/>
      <c r="R129" s="235"/>
      <c r="S129" s="246"/>
    </row>
    <row r="130" spans="1:19" ht="14.25" customHeight="1">
      <c r="A130" s="224"/>
      <c r="B130" s="225"/>
      <c r="C130" s="225"/>
      <c r="D130" s="226"/>
      <c r="E130" s="521"/>
      <c r="F130" s="240" t="s">
        <v>2418</v>
      </c>
      <c r="G130" s="252"/>
      <c r="H130" s="240"/>
      <c r="I130" s="241"/>
      <c r="J130" s="240"/>
      <c r="K130" s="242"/>
      <c r="L130" s="240"/>
      <c r="M130" s="242"/>
      <c r="N130" s="244"/>
      <c r="O130" s="251">
        <f>SUM(O131)</f>
        <v>8500000</v>
      </c>
      <c r="P130" s="235"/>
      <c r="Q130" s="997"/>
      <c r="R130" s="235"/>
      <c r="S130" s="246"/>
    </row>
    <row r="131" spans="1:19" ht="14.25" customHeight="1">
      <c r="A131" s="224"/>
      <c r="B131" s="225"/>
      <c r="C131" s="278"/>
      <c r="D131" s="226"/>
      <c r="E131" s="521"/>
      <c r="F131" s="998" t="s">
        <v>1142</v>
      </c>
      <c r="G131" s="252">
        <v>8500000</v>
      </c>
      <c r="H131" s="240" t="s">
        <v>109</v>
      </c>
      <c r="I131" s="265">
        <v>1</v>
      </c>
      <c r="J131" s="240"/>
      <c r="K131" s="242"/>
      <c r="L131" s="240"/>
      <c r="M131" s="240"/>
      <c r="N131" s="244" t="s">
        <v>110</v>
      </c>
      <c r="O131" s="245">
        <f>G131*I131</f>
        <v>8500000</v>
      </c>
      <c r="P131" s="235"/>
      <c r="Q131" s="997"/>
      <c r="R131" s="235"/>
      <c r="S131" s="246"/>
    </row>
    <row r="132" spans="1:19" s="192" customFormat="1" ht="14.25" customHeight="1">
      <c r="A132" s="204"/>
      <c r="B132" s="222"/>
      <c r="C132" s="214" t="s">
        <v>1143</v>
      </c>
      <c r="D132" s="214"/>
      <c r="E132" s="266"/>
      <c r="F132" s="217"/>
      <c r="G132" s="216"/>
      <c r="H132" s="217"/>
      <c r="I132" s="217"/>
      <c r="J132" s="217"/>
      <c r="K132" s="217"/>
      <c r="L132" s="217"/>
      <c r="M132" s="217"/>
      <c r="N132" s="219"/>
      <c r="O132" s="217"/>
      <c r="P132" s="220">
        <f>SUM(P133,P137,P143)</f>
        <v>873000000</v>
      </c>
      <c r="Q132" s="220">
        <f>SUM(Q133,Q137,Q143)</f>
        <v>837693000</v>
      </c>
      <c r="R132" s="220">
        <f>+P132-Q132</f>
        <v>35307000</v>
      </c>
      <c r="S132" s="221">
        <f>+R132/Q132</f>
        <v>4.2147899051323101E-2</v>
      </c>
    </row>
    <row r="133" spans="1:19" s="192" customFormat="1" ht="14.25" customHeight="1">
      <c r="A133" s="204"/>
      <c r="B133" s="222"/>
      <c r="C133" s="213"/>
      <c r="D133" s="1986" t="s">
        <v>1144</v>
      </c>
      <c r="E133" s="1986"/>
      <c r="F133" s="1093"/>
      <c r="G133" s="216"/>
      <c r="H133" s="217"/>
      <c r="I133" s="217"/>
      <c r="J133" s="217"/>
      <c r="K133" s="217"/>
      <c r="L133" s="217"/>
      <c r="M133" s="217"/>
      <c r="N133" s="219"/>
      <c r="O133" s="217"/>
      <c r="P133" s="220">
        <f>SUM(P134:P136)</f>
        <v>500000</v>
      </c>
      <c r="Q133" s="220">
        <f>SUM(Q134:Q136)</f>
        <v>4393000</v>
      </c>
      <c r="R133" s="220">
        <f>+P133-Q133</f>
        <v>-3893000</v>
      </c>
      <c r="S133" s="221">
        <f>+R133/Q133</f>
        <v>-0.8861825631686775</v>
      </c>
    </row>
    <row r="134" spans="1:19" ht="14.25" customHeight="1">
      <c r="A134" s="224"/>
      <c r="B134" s="225"/>
      <c r="C134" s="225"/>
      <c r="D134" s="1124"/>
      <c r="E134" s="255" t="s">
        <v>1145</v>
      </c>
      <c r="F134" s="66"/>
      <c r="G134" s="228"/>
      <c r="H134" s="66"/>
      <c r="I134" s="66"/>
      <c r="J134" s="66"/>
      <c r="K134" s="66"/>
      <c r="L134" s="66"/>
      <c r="M134" s="66"/>
      <c r="N134" s="230"/>
      <c r="O134" s="66"/>
      <c r="P134" s="171">
        <f>ROUNDUP(O135,-3)</f>
        <v>500000</v>
      </c>
      <c r="Q134" s="171">
        <v>4393000</v>
      </c>
      <c r="R134" s="171">
        <f>+P134-Q134</f>
        <v>-3893000</v>
      </c>
      <c r="S134" s="172">
        <f>+R134/Q134</f>
        <v>-0.8861825631686775</v>
      </c>
    </row>
    <row r="135" spans="1:19" ht="14.25" customHeight="1">
      <c r="A135" s="224"/>
      <c r="B135" s="225"/>
      <c r="C135" s="225"/>
      <c r="D135" s="226"/>
      <c r="E135" s="521"/>
      <c r="F135" s="240" t="s">
        <v>107</v>
      </c>
      <c r="G135" s="249"/>
      <c r="H135" s="240"/>
      <c r="I135" s="240"/>
      <c r="J135" s="240"/>
      <c r="K135" s="240"/>
      <c r="L135" s="240"/>
      <c r="M135" s="240"/>
      <c r="N135" s="244"/>
      <c r="O135" s="251">
        <f>SUM(O136:O136)</f>
        <v>500000</v>
      </c>
      <c r="P135" s="235"/>
      <c r="Q135" s="997"/>
      <c r="R135" s="235"/>
      <c r="S135" s="246"/>
    </row>
    <row r="136" spans="1:19" ht="14.25" customHeight="1">
      <c r="A136" s="224"/>
      <c r="B136" s="225"/>
      <c r="C136" s="225"/>
      <c r="D136" s="226"/>
      <c r="E136" s="521"/>
      <c r="F136" s="998" t="s">
        <v>1146</v>
      </c>
      <c r="G136" s="252">
        <v>500000</v>
      </c>
      <c r="H136" s="240" t="s">
        <v>1114</v>
      </c>
      <c r="I136" s="999">
        <v>1</v>
      </c>
      <c r="J136" s="240"/>
      <c r="K136" s="242"/>
      <c r="L136" s="240"/>
      <c r="M136" s="240"/>
      <c r="N136" s="244" t="s">
        <v>1116</v>
      </c>
      <c r="O136" s="245">
        <f>G136*I136</f>
        <v>500000</v>
      </c>
      <c r="P136" s="235"/>
      <c r="Q136" s="997"/>
      <c r="R136" s="235"/>
      <c r="S136" s="246"/>
    </row>
    <row r="137" spans="1:19" s="192" customFormat="1" ht="14.25" customHeight="1">
      <c r="A137" s="204"/>
      <c r="B137" s="222"/>
      <c r="C137" s="222"/>
      <c r="D137" s="849" t="s">
        <v>111</v>
      </c>
      <c r="E137" s="217"/>
      <c r="F137" s="217"/>
      <c r="G137" s="216"/>
      <c r="H137" s="217"/>
      <c r="I137" s="217"/>
      <c r="J137" s="217"/>
      <c r="K137" s="217"/>
      <c r="L137" s="217"/>
      <c r="M137" s="217"/>
      <c r="N137" s="219"/>
      <c r="O137" s="217"/>
      <c r="P137" s="220">
        <f>P138+P141+P142</f>
        <v>822500000</v>
      </c>
      <c r="Q137" s="220">
        <f>Q138+Q141+Q142</f>
        <v>783300000</v>
      </c>
      <c r="R137" s="220">
        <f>+P137-Q137</f>
        <v>39200000</v>
      </c>
      <c r="S137" s="221">
        <f>+R137/Q137</f>
        <v>5.0044682752457555E-2</v>
      </c>
    </row>
    <row r="138" spans="1:19" ht="14.25" customHeight="1">
      <c r="A138" s="224"/>
      <c r="B138" s="225"/>
      <c r="C138" s="225"/>
      <c r="D138" s="1124"/>
      <c r="E138" s="861" t="s">
        <v>1147</v>
      </c>
      <c r="F138" s="66"/>
      <c r="G138" s="228"/>
      <c r="H138" s="66"/>
      <c r="I138" s="66"/>
      <c r="J138" s="66"/>
      <c r="K138" s="66"/>
      <c r="L138" s="66"/>
      <c r="M138" s="66"/>
      <c r="N138" s="230"/>
      <c r="O138" s="66"/>
      <c r="P138" s="171">
        <f>ROUNDUP(O139,-3)</f>
        <v>822500000</v>
      </c>
      <c r="Q138" s="171">
        <v>783300000</v>
      </c>
      <c r="R138" s="171">
        <f>+P138-Q138</f>
        <v>39200000</v>
      </c>
      <c r="S138" s="172">
        <f>+R138/Q138</f>
        <v>5.0044682752457555E-2</v>
      </c>
    </row>
    <row r="139" spans="1:19" ht="14.25" customHeight="1">
      <c r="A139" s="224"/>
      <c r="B139" s="225"/>
      <c r="C139" s="225"/>
      <c r="D139" s="1029"/>
      <c r="E139" s="427"/>
      <c r="F139" s="1093" t="s">
        <v>2413</v>
      </c>
      <c r="G139" s="1094"/>
      <c r="H139" s="1093"/>
      <c r="I139" s="1093"/>
      <c r="J139" s="1093"/>
      <c r="K139" s="1093"/>
      <c r="L139" s="1093"/>
      <c r="M139" s="1093"/>
      <c r="N139" s="1095"/>
      <c r="O139" s="1125">
        <f>SUM(O140:O140)</f>
        <v>822500000</v>
      </c>
      <c r="P139" s="263"/>
      <c r="Q139" s="1004"/>
      <c r="R139" s="263"/>
      <c r="S139" s="264"/>
    </row>
    <row r="140" spans="1:19" ht="14.25" customHeight="1">
      <c r="A140" s="224"/>
      <c r="B140" s="225"/>
      <c r="C140" s="225"/>
      <c r="D140" s="1029"/>
      <c r="E140" s="1126"/>
      <c r="F140" s="1127" t="s">
        <v>2412</v>
      </c>
      <c r="G140" s="1128">
        <v>822500000</v>
      </c>
      <c r="H140" s="1129" t="s">
        <v>1113</v>
      </c>
      <c r="I140" s="1130">
        <v>1</v>
      </c>
      <c r="J140" s="1129"/>
      <c r="K140" s="1131"/>
      <c r="L140" s="1129"/>
      <c r="M140" s="1129"/>
      <c r="N140" s="1132" t="s">
        <v>1116</v>
      </c>
      <c r="O140" s="1133">
        <f>G140*I140</f>
        <v>822500000</v>
      </c>
      <c r="P140" s="235"/>
      <c r="Q140" s="997"/>
      <c r="R140" s="235"/>
      <c r="S140" s="246"/>
    </row>
    <row r="141" spans="1:19" ht="14.25" customHeight="1">
      <c r="A141" s="224"/>
      <c r="B141" s="225"/>
      <c r="C141" s="225"/>
      <c r="D141" s="1029"/>
      <c r="E141" s="861" t="s">
        <v>1148</v>
      </c>
      <c r="F141" s="66"/>
      <c r="G141" s="228"/>
      <c r="H141" s="66"/>
      <c r="I141" s="66"/>
      <c r="J141" s="66"/>
      <c r="K141" s="66"/>
      <c r="L141" s="66"/>
      <c r="M141" s="66"/>
      <c r="N141" s="230"/>
      <c r="O141" s="66"/>
      <c r="P141" s="171">
        <v>0</v>
      </c>
      <c r="Q141" s="171">
        <v>0</v>
      </c>
      <c r="R141" s="171">
        <f>+P141-Q141</f>
        <v>0</v>
      </c>
      <c r="S141" s="172">
        <v>0</v>
      </c>
    </row>
    <row r="142" spans="1:19" ht="14.25" customHeight="1">
      <c r="A142" s="224"/>
      <c r="B142" s="225"/>
      <c r="C142" s="225"/>
      <c r="D142" s="1029"/>
      <c r="E142" s="861" t="s">
        <v>1149</v>
      </c>
      <c r="F142" s="66"/>
      <c r="G142" s="228"/>
      <c r="H142" s="66"/>
      <c r="I142" s="66"/>
      <c r="J142" s="66"/>
      <c r="K142" s="66"/>
      <c r="L142" s="66"/>
      <c r="M142" s="66"/>
      <c r="N142" s="230"/>
      <c r="O142" s="66"/>
      <c r="P142" s="171">
        <v>0</v>
      </c>
      <c r="Q142" s="171">
        <v>0</v>
      </c>
      <c r="R142" s="171">
        <f>+P142-Q142</f>
        <v>0</v>
      </c>
      <c r="S142" s="172">
        <v>0</v>
      </c>
    </row>
    <row r="143" spans="1:19" s="192" customFormat="1" ht="14.25" customHeight="1">
      <c r="A143" s="204"/>
      <c r="B143" s="222"/>
      <c r="C143" s="222"/>
      <c r="D143" s="214" t="s">
        <v>1150</v>
      </c>
      <c r="E143" s="266"/>
      <c r="F143" s="217"/>
      <c r="G143" s="216"/>
      <c r="H143" s="217"/>
      <c r="I143" s="217"/>
      <c r="J143" s="217"/>
      <c r="K143" s="217"/>
      <c r="L143" s="217"/>
      <c r="M143" s="217"/>
      <c r="N143" s="219"/>
      <c r="O143" s="217"/>
      <c r="P143" s="220">
        <f>SUM(P144:P147)</f>
        <v>50000000</v>
      </c>
      <c r="Q143" s="220">
        <f>SUM(Q144:Q147)</f>
        <v>50000000</v>
      </c>
      <c r="R143" s="220">
        <f>+P143-Q143</f>
        <v>0</v>
      </c>
      <c r="S143" s="221">
        <f>+R143/Q143</f>
        <v>0</v>
      </c>
    </row>
    <row r="144" spans="1:19" ht="14.25" customHeight="1">
      <c r="A144" s="224"/>
      <c r="B144" s="225"/>
      <c r="C144" s="225"/>
      <c r="D144" s="1029"/>
      <c r="E144" s="255" t="s">
        <v>1151</v>
      </c>
      <c r="F144" s="66"/>
      <c r="G144" s="228"/>
      <c r="H144" s="66"/>
      <c r="I144" s="66"/>
      <c r="J144" s="66"/>
      <c r="K144" s="66"/>
      <c r="L144" s="66"/>
      <c r="M144" s="66"/>
      <c r="N144" s="230"/>
      <c r="O144" s="66"/>
      <c r="P144" s="171">
        <v>0</v>
      </c>
      <c r="Q144" s="171">
        <v>0</v>
      </c>
      <c r="R144" s="171">
        <f>+P144-Q144</f>
        <v>0</v>
      </c>
      <c r="S144" s="172">
        <v>0</v>
      </c>
    </row>
    <row r="145" spans="1:19" ht="14.25" customHeight="1">
      <c r="A145" s="224"/>
      <c r="B145" s="225"/>
      <c r="C145" s="225"/>
      <c r="D145" s="1029"/>
      <c r="E145" s="1112" t="s">
        <v>1152</v>
      </c>
      <c r="F145" s="363"/>
      <c r="G145" s="365"/>
      <c r="H145" s="363"/>
      <c r="I145" s="363"/>
      <c r="J145" s="363"/>
      <c r="K145" s="363"/>
      <c r="L145" s="363"/>
      <c r="M145" s="363"/>
      <c r="N145" s="367"/>
      <c r="O145" s="363"/>
      <c r="P145" s="188">
        <f>ROUNDUP(O146,-3)</f>
        <v>50000000</v>
      </c>
      <c r="Q145" s="188">
        <v>50000000</v>
      </c>
      <c r="R145" s="188">
        <f>+P145-Q145</f>
        <v>0</v>
      </c>
      <c r="S145" s="570">
        <f>+R145/Q145</f>
        <v>0</v>
      </c>
    </row>
    <row r="146" spans="1:19" ht="14.25" customHeight="1">
      <c r="A146" s="224"/>
      <c r="B146" s="225"/>
      <c r="C146" s="225"/>
      <c r="D146" s="226"/>
      <c r="E146" s="521"/>
      <c r="F146" s="240" t="s">
        <v>1153</v>
      </c>
      <c r="G146" s="249"/>
      <c r="H146" s="240"/>
      <c r="I146" s="240"/>
      <c r="J146" s="240"/>
      <c r="K146" s="240"/>
      <c r="L146" s="240"/>
      <c r="M146" s="240"/>
      <c r="N146" s="244"/>
      <c r="O146" s="251">
        <f>SUM(O147:O147)</f>
        <v>50000000</v>
      </c>
      <c r="P146" s="235"/>
      <c r="Q146" s="997"/>
      <c r="R146" s="235"/>
      <c r="S146" s="246"/>
    </row>
    <row r="147" spans="1:19" ht="14.25" customHeight="1" thickBot="1">
      <c r="A147" s="1134"/>
      <c r="B147" s="426"/>
      <c r="C147" s="426"/>
      <c r="D147" s="1006"/>
      <c r="E147" s="1135"/>
      <c r="F147" s="432" t="s">
        <v>1154</v>
      </c>
      <c r="G147" s="433">
        <v>50000000</v>
      </c>
      <c r="H147" s="434" t="s">
        <v>1059</v>
      </c>
      <c r="I147" s="1136">
        <v>1</v>
      </c>
      <c r="J147" s="434"/>
      <c r="K147" s="436"/>
      <c r="L147" s="434"/>
      <c r="M147" s="434"/>
      <c r="N147" s="437" t="s">
        <v>283</v>
      </c>
      <c r="O147" s="438">
        <f>G147*I147</f>
        <v>50000000</v>
      </c>
      <c r="P147" s="1014"/>
      <c r="Q147" s="1015"/>
      <c r="R147" s="1014"/>
      <c r="S147" s="1016"/>
    </row>
    <row r="148" spans="1:19" ht="12" customHeight="1"/>
    <row r="149" spans="1:19" ht="12" customHeight="1"/>
    <row r="150" spans="1:19" ht="12" customHeight="1"/>
    <row r="151" spans="1:19" ht="12" customHeight="1"/>
    <row r="152" spans="1:19" ht="12" customHeight="1"/>
    <row r="153" spans="1:19" ht="12" customHeight="1"/>
    <row r="154" spans="1:19" ht="12" customHeight="1"/>
    <row r="155" spans="1:19" ht="12" customHeight="1"/>
    <row r="156" spans="1:19" ht="12" customHeight="1"/>
    <row r="157" spans="1:19" ht="12" customHeight="1"/>
    <row r="158" spans="1:19" ht="12" customHeight="1"/>
    <row r="159" spans="1:19" ht="12" customHeight="1"/>
    <row r="160" spans="1:19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</sheetData>
  <mergeCells count="10">
    <mergeCell ref="D8:E8"/>
    <mergeCell ref="D133:E133"/>
    <mergeCell ref="A1:S1"/>
    <mergeCell ref="R2:S2"/>
    <mergeCell ref="A3:F3"/>
    <mergeCell ref="G3:O4"/>
    <mergeCell ref="P3:P4"/>
    <mergeCell ref="Q3:Q4"/>
    <mergeCell ref="R3:R4"/>
    <mergeCell ref="S3:S4"/>
  </mergeCells>
  <phoneticPr fontId="2" type="noConversion"/>
  <pageMargins left="0.78740157480314965" right="0.78740157480314965" top="0.78740157480314965" bottom="0.78740157480314965" header="0.31496062992125984" footer="0.11811023622047245"/>
  <pageSetup paperSize="9" scale="81" firstPageNumber="34" fitToHeight="0" orientation="landscape" useFirstPageNumber="1" r:id="rId1"/>
  <headerFooter scaleWithDoc="0" alignWithMargins="0">
    <oddFooter>&amp;C&amp;P</oddFooter>
  </headerFooter>
  <rowBreaks count="2" manualBreakCount="2">
    <brk id="78" max="18" man="1"/>
    <brk id="116" max="18" man="1"/>
  </rowBreaks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99FF"/>
    <pageSetUpPr fitToPage="1"/>
  </sheetPr>
  <dimension ref="A1:AA95"/>
  <sheetViews>
    <sheetView view="pageBreakPreview" zoomScale="85" zoomScaleNormal="86" zoomScaleSheetLayoutView="85" workbookViewId="0">
      <pane xSplit="3" ySplit="6" topLeftCell="D7" activePane="bottomRight" state="frozen"/>
      <selection activeCell="V20" sqref="V20"/>
      <selection pane="topRight" activeCell="V20" sqref="V20"/>
      <selection pane="bottomLeft" activeCell="V20" sqref="V20"/>
      <selection pane="bottomRight" activeCell="V20" sqref="V20"/>
    </sheetView>
  </sheetViews>
  <sheetFormatPr defaultColWidth="9" defaultRowHeight="13.5"/>
  <cols>
    <col min="1" max="1" width="3.625" style="196" customWidth="1"/>
    <col min="2" max="4" width="3.625" style="193" customWidth="1"/>
    <col min="5" max="5" width="10.625" style="196" customWidth="1"/>
    <col min="6" max="6" width="20.625" style="196" customWidth="1"/>
    <col min="7" max="7" width="11.5" style="195" bestFit="1" customWidth="1"/>
    <col min="8" max="8" width="2.125" style="196" customWidth="1"/>
    <col min="9" max="9" width="5.75" style="196" customWidth="1"/>
    <col min="10" max="10" width="2.125" style="196" customWidth="1"/>
    <col min="11" max="11" width="6.625" style="196" bestFit="1" customWidth="1"/>
    <col min="12" max="12" width="2.75" style="196" customWidth="1"/>
    <col min="13" max="13" width="6.375" style="196" customWidth="1"/>
    <col min="14" max="14" width="2.625" style="198" customWidth="1"/>
    <col min="15" max="15" width="12.625" style="196" customWidth="1"/>
    <col min="16" max="16" width="10.625" style="199" customWidth="1"/>
    <col min="17" max="18" width="10.625" style="200" customWidth="1"/>
    <col min="19" max="19" width="10.625" style="289" customWidth="1"/>
    <col min="20" max="16384" width="9" style="196"/>
  </cols>
  <sheetData>
    <row r="1" spans="1:27" s="192" customFormat="1" ht="35.1" customHeight="1">
      <c r="A1" s="1968" t="s">
        <v>2427</v>
      </c>
      <c r="B1" s="1968"/>
      <c r="C1" s="1968"/>
      <c r="D1" s="1968"/>
      <c r="E1" s="1968"/>
      <c r="F1" s="1968"/>
      <c r="G1" s="1968"/>
      <c r="H1" s="1968"/>
      <c r="I1" s="1968"/>
      <c r="J1" s="1968"/>
      <c r="K1" s="1968"/>
      <c r="L1" s="1968"/>
      <c r="M1" s="1968"/>
      <c r="N1" s="1968"/>
      <c r="O1" s="1968"/>
      <c r="P1" s="1968"/>
      <c r="Q1" s="1968"/>
      <c r="R1" s="1968"/>
      <c r="S1" s="1968"/>
    </row>
    <row r="2" spans="1:27" ht="15" customHeight="1" thickBot="1">
      <c r="A2" s="192" t="s">
        <v>1365</v>
      </c>
      <c r="R2" s="1969" t="s">
        <v>1366</v>
      </c>
      <c r="S2" s="1969"/>
    </row>
    <row r="3" spans="1:27" s="201" customFormat="1" ht="15" customHeight="1">
      <c r="A3" s="1970" t="s">
        <v>1367</v>
      </c>
      <c r="B3" s="1971"/>
      <c r="C3" s="1971"/>
      <c r="D3" s="1971"/>
      <c r="E3" s="1971"/>
      <c r="F3" s="1749"/>
      <c r="G3" s="1972" t="s">
        <v>1368</v>
      </c>
      <c r="H3" s="1972"/>
      <c r="I3" s="1972"/>
      <c r="J3" s="1972"/>
      <c r="K3" s="1972"/>
      <c r="L3" s="1972"/>
      <c r="M3" s="1972"/>
      <c r="N3" s="1972"/>
      <c r="O3" s="1973"/>
      <c r="P3" s="1976" t="s">
        <v>1369</v>
      </c>
      <c r="Q3" s="1978" t="s">
        <v>94</v>
      </c>
      <c r="R3" s="1980" t="s">
        <v>1370</v>
      </c>
      <c r="S3" s="1982" t="s">
        <v>1371</v>
      </c>
    </row>
    <row r="4" spans="1:27" s="201" customFormat="1" ht="15" customHeight="1" thickBot="1">
      <c r="A4" s="1750" t="s">
        <v>1372</v>
      </c>
      <c r="B4" s="1751" t="s">
        <v>1373</v>
      </c>
      <c r="C4" s="1751" t="s">
        <v>1374</v>
      </c>
      <c r="D4" s="1751" t="s">
        <v>1375</v>
      </c>
      <c r="E4" s="1751" t="s">
        <v>1376</v>
      </c>
      <c r="F4" s="1752" t="s">
        <v>794</v>
      </c>
      <c r="G4" s="1974"/>
      <c r="H4" s="1974"/>
      <c r="I4" s="1974"/>
      <c r="J4" s="1974"/>
      <c r="K4" s="1974"/>
      <c r="L4" s="1974"/>
      <c r="M4" s="1974"/>
      <c r="N4" s="1974"/>
      <c r="O4" s="1975"/>
      <c r="P4" s="1977"/>
      <c r="Q4" s="1979"/>
      <c r="R4" s="1981"/>
      <c r="S4" s="1983"/>
    </row>
    <row r="5" spans="1:27" s="192" customFormat="1" ht="15" customHeight="1" thickBot="1">
      <c r="A5" s="68" t="s">
        <v>2138</v>
      </c>
      <c r="B5" s="924"/>
      <c r="C5" s="72"/>
      <c r="D5" s="72"/>
      <c r="E5" s="72"/>
      <c r="F5" s="72"/>
      <c r="G5" s="71"/>
      <c r="H5" s="72"/>
      <c r="I5" s="72"/>
      <c r="J5" s="72"/>
      <c r="K5" s="72"/>
      <c r="L5" s="72"/>
      <c r="M5" s="72"/>
      <c r="N5" s="74"/>
      <c r="O5" s="72"/>
      <c r="P5" s="75">
        <f>P6</f>
        <v>343577000</v>
      </c>
      <c r="Q5" s="75">
        <f>Q6</f>
        <v>252040000</v>
      </c>
      <c r="R5" s="925">
        <f>+P5-Q5</f>
        <v>91537000</v>
      </c>
      <c r="S5" s="203">
        <f t="shared" ref="S5:S6" si="0">+R5/Q5</f>
        <v>0.36318441517219491</v>
      </c>
    </row>
    <row r="6" spans="1:27" s="192" customFormat="1" ht="15" customHeight="1">
      <c r="A6" s="204"/>
      <c r="B6" s="205" t="s">
        <v>1377</v>
      </c>
      <c r="C6" s="206"/>
      <c r="D6" s="206"/>
      <c r="E6" s="209"/>
      <c r="F6" s="209"/>
      <c r="G6" s="208"/>
      <c r="H6" s="209"/>
      <c r="I6" s="209"/>
      <c r="J6" s="209"/>
      <c r="K6" s="209"/>
      <c r="L6" s="209"/>
      <c r="M6" s="209"/>
      <c r="N6" s="210"/>
      <c r="O6" s="209"/>
      <c r="P6" s="211">
        <f>P7+P14</f>
        <v>343577000</v>
      </c>
      <c r="Q6" s="211">
        <f>Q7+Q14</f>
        <v>252040000</v>
      </c>
      <c r="R6" s="211">
        <f>+P6-Q6</f>
        <v>91537000</v>
      </c>
      <c r="S6" s="212">
        <f t="shared" si="0"/>
        <v>0.36318441517219491</v>
      </c>
    </row>
    <row r="7" spans="1:27" s="192" customFormat="1" ht="15" customHeight="1">
      <c r="A7" s="204"/>
      <c r="B7" s="213"/>
      <c r="C7" s="214" t="s">
        <v>1378</v>
      </c>
      <c r="D7" s="214"/>
      <c r="E7" s="217"/>
      <c r="F7" s="217"/>
      <c r="G7" s="216"/>
      <c r="H7" s="217"/>
      <c r="I7" s="217"/>
      <c r="J7" s="217"/>
      <c r="K7" s="217"/>
      <c r="L7" s="217"/>
      <c r="M7" s="217"/>
      <c r="N7" s="219"/>
      <c r="O7" s="217"/>
      <c r="P7" s="220">
        <f>SUM(P8)</f>
        <v>20160000</v>
      </c>
      <c r="Q7" s="220">
        <f>SUM(Q8)</f>
        <v>21040000</v>
      </c>
      <c r="R7" s="220">
        <f>+P7-Q7</f>
        <v>-880000</v>
      </c>
      <c r="S7" s="221">
        <f>+R7/Q7</f>
        <v>-4.1825095057034217E-2</v>
      </c>
    </row>
    <row r="8" spans="1:27" s="192" customFormat="1" ht="15" customHeight="1">
      <c r="A8" s="204"/>
      <c r="B8" s="222"/>
      <c r="C8" s="223"/>
      <c r="D8" s="266" t="s">
        <v>1379</v>
      </c>
      <c r="E8" s="217"/>
      <c r="F8" s="217"/>
      <c r="G8" s="216"/>
      <c r="H8" s="217"/>
      <c r="I8" s="217"/>
      <c r="J8" s="217"/>
      <c r="K8" s="217"/>
      <c r="L8" s="217"/>
      <c r="M8" s="217"/>
      <c r="N8" s="219"/>
      <c r="O8" s="217"/>
      <c r="P8" s="220">
        <f>SUM(P9:P13)</f>
        <v>20160000</v>
      </c>
      <c r="Q8" s="220">
        <f>SUM(Q9:Q13)</f>
        <v>21040000</v>
      </c>
      <c r="R8" s="220">
        <f>+P8-Q8</f>
        <v>-880000</v>
      </c>
      <c r="S8" s="221">
        <f>+R8/Q8</f>
        <v>-4.1825095057034217E-2</v>
      </c>
    </row>
    <row r="9" spans="1:27" ht="15" customHeight="1">
      <c r="A9" s="224"/>
      <c r="B9" s="225"/>
      <c r="C9" s="226"/>
      <c r="D9" s="521"/>
      <c r="E9" s="255" t="s">
        <v>1380</v>
      </c>
      <c r="F9" s="66"/>
      <c r="G9" s="228"/>
      <c r="H9" s="66"/>
      <c r="I9" s="66"/>
      <c r="J9" s="66"/>
      <c r="K9" s="66"/>
      <c r="L9" s="66"/>
      <c r="M9" s="66"/>
      <c r="N9" s="230"/>
      <c r="O9" s="66"/>
      <c r="P9" s="171">
        <f>ROUNDUP((O10),-3)</f>
        <v>20160000</v>
      </c>
      <c r="Q9" s="171">
        <v>21040000</v>
      </c>
      <c r="R9" s="171">
        <f>+P9-Q9</f>
        <v>-880000</v>
      </c>
      <c r="S9" s="172">
        <f>+R9/Q9</f>
        <v>-4.1825095057034217E-2</v>
      </c>
    </row>
    <row r="10" spans="1:27" ht="15" customHeight="1">
      <c r="A10" s="224"/>
      <c r="B10" s="225"/>
      <c r="C10" s="226"/>
      <c r="D10" s="521"/>
      <c r="E10" s="521"/>
      <c r="F10" s="240" t="s">
        <v>1381</v>
      </c>
      <c r="G10" s="252"/>
      <c r="H10" s="240"/>
      <c r="I10" s="241"/>
      <c r="J10" s="240"/>
      <c r="K10" s="256"/>
      <c r="L10" s="240"/>
      <c r="M10" s="242"/>
      <c r="N10" s="244"/>
      <c r="O10" s="251">
        <f>SUM(O11:O13)</f>
        <v>20160000</v>
      </c>
      <c r="P10" s="235"/>
      <c r="Q10" s="997"/>
      <c r="R10" s="235"/>
      <c r="S10" s="1137"/>
    </row>
    <row r="11" spans="1:27" ht="15" customHeight="1">
      <c r="A11" s="224"/>
      <c r="B11" s="225"/>
      <c r="C11" s="226"/>
      <c r="D11" s="521"/>
      <c r="E11" s="521"/>
      <c r="F11" s="998" t="s">
        <v>1382</v>
      </c>
      <c r="G11" s="252">
        <v>30000</v>
      </c>
      <c r="H11" s="240" t="s">
        <v>1383</v>
      </c>
      <c r="I11" s="241">
        <v>10</v>
      </c>
      <c r="J11" s="240" t="s">
        <v>1383</v>
      </c>
      <c r="K11" s="1138">
        <v>4</v>
      </c>
      <c r="L11" s="240" t="s">
        <v>1383</v>
      </c>
      <c r="M11" s="1139">
        <v>12</v>
      </c>
      <c r="N11" s="244" t="s">
        <v>1384</v>
      </c>
      <c r="O11" s="245">
        <f>+G11*I11*K11*M11</f>
        <v>14400000</v>
      </c>
      <c r="P11" s="235"/>
      <c r="Q11" s="997"/>
      <c r="R11" s="235"/>
      <c r="S11" s="1137"/>
    </row>
    <row r="12" spans="1:27" ht="15" customHeight="1">
      <c r="A12" s="224"/>
      <c r="B12" s="225"/>
      <c r="C12" s="226"/>
      <c r="D12" s="521"/>
      <c r="E12" s="521"/>
      <c r="F12" s="998" t="s">
        <v>1385</v>
      </c>
      <c r="G12" s="252">
        <v>10000</v>
      </c>
      <c r="H12" s="240" t="s">
        <v>1383</v>
      </c>
      <c r="I12" s="241">
        <v>8</v>
      </c>
      <c r="J12" s="240" t="s">
        <v>282</v>
      </c>
      <c r="K12" s="1139">
        <v>12</v>
      </c>
      <c r="L12" s="240"/>
      <c r="M12" s="242"/>
      <c r="N12" s="244" t="s">
        <v>283</v>
      </c>
      <c r="O12" s="245">
        <f>+G12*I12*K12</f>
        <v>960000</v>
      </c>
      <c r="P12" s="235"/>
      <c r="Q12" s="997"/>
      <c r="R12" s="235"/>
      <c r="S12" s="1137"/>
    </row>
    <row r="13" spans="1:27" ht="15" customHeight="1">
      <c r="A13" s="224"/>
      <c r="B13" s="225"/>
      <c r="C13" s="226"/>
      <c r="D13" s="521"/>
      <c r="E13" s="521"/>
      <c r="F13" s="998" t="s">
        <v>1386</v>
      </c>
      <c r="G13" s="252">
        <v>50000</v>
      </c>
      <c r="H13" s="240" t="s">
        <v>1383</v>
      </c>
      <c r="I13" s="256">
        <v>8</v>
      </c>
      <c r="J13" s="240" t="s">
        <v>1383</v>
      </c>
      <c r="K13" s="1139">
        <v>12</v>
      </c>
      <c r="L13" s="240"/>
      <c r="M13" s="242"/>
      <c r="N13" s="244" t="s">
        <v>1384</v>
      </c>
      <c r="O13" s="245">
        <f>+G13*I13*K13</f>
        <v>4800000</v>
      </c>
      <c r="P13" s="235"/>
      <c r="Q13" s="997"/>
      <c r="R13" s="235"/>
      <c r="S13" s="1137"/>
    </row>
    <row r="14" spans="1:27" s="192" customFormat="1" ht="15" customHeight="1">
      <c r="A14" s="204"/>
      <c r="B14" s="222"/>
      <c r="C14" s="214" t="s">
        <v>1387</v>
      </c>
      <c r="D14" s="266"/>
      <c r="E14" s="217"/>
      <c r="F14" s="217"/>
      <c r="G14" s="216"/>
      <c r="H14" s="217"/>
      <c r="I14" s="217"/>
      <c r="J14" s="217"/>
      <c r="K14" s="217"/>
      <c r="L14" s="217"/>
      <c r="M14" s="217"/>
      <c r="N14" s="219"/>
      <c r="O14" s="217"/>
      <c r="P14" s="220">
        <f>P15+P19</f>
        <v>323417000</v>
      </c>
      <c r="Q14" s="220">
        <f>Q15+Q19</f>
        <v>231000000</v>
      </c>
      <c r="R14" s="220">
        <f>+P14-Q14</f>
        <v>92417000</v>
      </c>
      <c r="S14" s="221">
        <f t="shared" ref="S14" si="1">+R14/Q14</f>
        <v>0.40007359307359308</v>
      </c>
      <c r="X14" s="196"/>
      <c r="Y14" s="196"/>
      <c r="Z14" s="196"/>
      <c r="AA14" s="196"/>
    </row>
    <row r="15" spans="1:27" s="192" customFormat="1" ht="15" customHeight="1">
      <c r="A15" s="204"/>
      <c r="B15" s="222"/>
      <c r="C15" s="223"/>
      <c r="D15" s="266" t="s">
        <v>1388</v>
      </c>
      <c r="E15" s="217"/>
      <c r="F15" s="217"/>
      <c r="G15" s="216"/>
      <c r="H15" s="217"/>
      <c r="I15" s="217"/>
      <c r="J15" s="217"/>
      <c r="K15" s="217"/>
      <c r="L15" s="217"/>
      <c r="M15" s="217"/>
      <c r="N15" s="219"/>
      <c r="O15" s="217"/>
      <c r="P15" s="220">
        <f>P16</f>
        <v>24000</v>
      </c>
      <c r="Q15" s="220">
        <f>Q16</f>
        <v>0</v>
      </c>
      <c r="R15" s="220">
        <f>+P15-Q15</f>
        <v>24000</v>
      </c>
      <c r="S15" s="221">
        <v>1</v>
      </c>
      <c r="X15" s="196"/>
      <c r="Y15" s="196"/>
      <c r="Z15" s="196"/>
      <c r="AA15" s="196"/>
    </row>
    <row r="16" spans="1:27" ht="15" customHeight="1">
      <c r="A16" s="224"/>
      <c r="B16" s="225"/>
      <c r="C16" s="226"/>
      <c r="D16" s="267"/>
      <c r="E16" s="255" t="s">
        <v>612</v>
      </c>
      <c r="F16" s="66"/>
      <c r="G16" s="228"/>
      <c r="H16" s="66"/>
      <c r="I16" s="66"/>
      <c r="J16" s="66"/>
      <c r="K16" s="66"/>
      <c r="L16" s="66"/>
      <c r="M16" s="66"/>
      <c r="N16" s="230"/>
      <c r="O16" s="66"/>
      <c r="P16" s="171">
        <f>ROUNDUP(O17,-3)</f>
        <v>24000</v>
      </c>
      <c r="Q16" s="171">
        <f>Q18</f>
        <v>0</v>
      </c>
      <c r="R16" s="171">
        <f>+P16-Q16</f>
        <v>24000</v>
      </c>
      <c r="S16" s="172">
        <v>1</v>
      </c>
    </row>
    <row r="17" spans="1:27" ht="15" customHeight="1">
      <c r="A17" s="224"/>
      <c r="B17" s="225"/>
      <c r="C17" s="1029"/>
      <c r="D17" s="225"/>
      <c r="E17" s="240"/>
      <c r="F17" s="240" t="s">
        <v>1389</v>
      </c>
      <c r="G17" s="249"/>
      <c r="H17" s="240"/>
      <c r="I17" s="240"/>
      <c r="J17" s="240"/>
      <c r="K17" s="240"/>
      <c r="L17" s="240"/>
      <c r="M17" s="240"/>
      <c r="N17" s="244"/>
      <c r="O17" s="251">
        <f>SUM(O18:O18)</f>
        <v>24000</v>
      </c>
      <c r="P17" s="235"/>
      <c r="Q17" s="235"/>
      <c r="R17" s="235"/>
      <c r="S17" s="246"/>
    </row>
    <row r="18" spans="1:27" ht="15" customHeight="1">
      <c r="A18" s="224"/>
      <c r="B18" s="225"/>
      <c r="C18" s="1029"/>
      <c r="D18" s="278"/>
      <c r="E18" s="998"/>
      <c r="F18" s="998" t="s">
        <v>1390</v>
      </c>
      <c r="G18" s="252">
        <v>24000</v>
      </c>
      <c r="H18" s="240" t="s">
        <v>1383</v>
      </c>
      <c r="I18" s="999">
        <v>1</v>
      </c>
      <c r="J18" s="240"/>
      <c r="K18" s="242"/>
      <c r="L18" s="240"/>
      <c r="M18" s="240"/>
      <c r="N18" s="244" t="s">
        <v>1384</v>
      </c>
      <c r="O18" s="245">
        <f>ROUNDUP(G18*I18,-3)</f>
        <v>24000</v>
      </c>
      <c r="P18" s="235"/>
      <c r="Q18" s="235"/>
      <c r="R18" s="235"/>
      <c r="S18" s="246"/>
    </row>
    <row r="19" spans="1:27" s="192" customFormat="1" ht="15" customHeight="1">
      <c r="A19" s="204"/>
      <c r="B19" s="222"/>
      <c r="C19" s="223"/>
      <c r="D19" s="850" t="s">
        <v>111</v>
      </c>
      <c r="E19" s="217"/>
      <c r="F19" s="217"/>
      <c r="G19" s="216"/>
      <c r="H19" s="217"/>
      <c r="I19" s="217"/>
      <c r="J19" s="217"/>
      <c r="K19" s="217"/>
      <c r="L19" s="217"/>
      <c r="M19" s="217"/>
      <c r="N19" s="219"/>
      <c r="O19" s="217"/>
      <c r="P19" s="220">
        <f>P20</f>
        <v>323393000</v>
      </c>
      <c r="Q19" s="220">
        <f>Q20</f>
        <v>231000000</v>
      </c>
      <c r="R19" s="220">
        <f>+P19-Q19</f>
        <v>92393000</v>
      </c>
      <c r="S19" s="221">
        <f t="shared" ref="S19:S20" si="2">+R19/Q19</f>
        <v>0.39996969696969698</v>
      </c>
      <c r="X19" s="196"/>
      <c r="Y19" s="196"/>
      <c r="Z19" s="196"/>
      <c r="AA19" s="196"/>
    </row>
    <row r="20" spans="1:27" ht="15" customHeight="1">
      <c r="A20" s="224"/>
      <c r="B20" s="225"/>
      <c r="C20" s="226"/>
      <c r="D20" s="267"/>
      <c r="E20" s="861" t="s">
        <v>1391</v>
      </c>
      <c r="F20" s="66"/>
      <c r="G20" s="228"/>
      <c r="H20" s="66"/>
      <c r="I20" s="66"/>
      <c r="J20" s="66"/>
      <c r="K20" s="66"/>
      <c r="L20" s="66"/>
      <c r="M20" s="66"/>
      <c r="N20" s="230"/>
      <c r="O20" s="66"/>
      <c r="P20" s="171">
        <f>ROUNDUP(O21,-3)</f>
        <v>323393000</v>
      </c>
      <c r="Q20" s="171">
        <v>231000000</v>
      </c>
      <c r="R20" s="171">
        <f>+P20-Q20</f>
        <v>92393000</v>
      </c>
      <c r="S20" s="172">
        <f t="shared" si="2"/>
        <v>0.39996969696969698</v>
      </c>
    </row>
    <row r="21" spans="1:27" ht="15" customHeight="1">
      <c r="A21" s="224"/>
      <c r="B21" s="225"/>
      <c r="C21" s="226"/>
      <c r="D21" s="225"/>
      <c r="E21" s="1000"/>
      <c r="F21" s="1093" t="s">
        <v>2413</v>
      </c>
      <c r="G21" s="1094"/>
      <c r="H21" s="1093"/>
      <c r="I21" s="1093"/>
      <c r="J21" s="1093"/>
      <c r="K21" s="1093"/>
      <c r="L21" s="1093"/>
      <c r="M21" s="1093"/>
      <c r="N21" s="1095"/>
      <c r="O21" s="1125">
        <f>SUM(O22:O22)</f>
        <v>323393000</v>
      </c>
      <c r="P21" s="263"/>
      <c r="Q21" s="1004"/>
      <c r="R21" s="263"/>
      <c r="S21" s="264"/>
    </row>
    <row r="22" spans="1:27" ht="15" customHeight="1" thickBot="1">
      <c r="A22" s="1005"/>
      <c r="B22" s="426"/>
      <c r="C22" s="1006"/>
      <c r="D22" s="426"/>
      <c r="E22" s="432"/>
      <c r="F22" s="1098" t="s">
        <v>2414</v>
      </c>
      <c r="G22" s="1099">
        <v>323393000</v>
      </c>
      <c r="H22" s="1100" t="s">
        <v>282</v>
      </c>
      <c r="I22" s="1101">
        <v>1</v>
      </c>
      <c r="J22" s="1100"/>
      <c r="K22" s="1102"/>
      <c r="L22" s="1100"/>
      <c r="M22" s="1100"/>
      <c r="N22" s="1103" t="s">
        <v>283</v>
      </c>
      <c r="O22" s="1782">
        <f>G22</f>
        <v>323393000</v>
      </c>
      <c r="P22" s="1014"/>
      <c r="Q22" s="1015"/>
      <c r="R22" s="1014"/>
      <c r="S22" s="1016"/>
    </row>
    <row r="23" spans="1:27" ht="12" customHeight="1"/>
    <row r="24" spans="1:27" ht="12" customHeight="1"/>
    <row r="25" spans="1:27" ht="12" customHeight="1"/>
    <row r="26" spans="1:27" ht="12" customHeight="1"/>
    <row r="27" spans="1:27" ht="12" customHeight="1"/>
    <row r="28" spans="1:27" ht="12" customHeight="1"/>
    <row r="29" spans="1:27" ht="12" customHeight="1"/>
    <row r="30" spans="1:27" ht="12" customHeight="1"/>
    <row r="31" spans="1:27" ht="12" customHeight="1"/>
    <row r="32" spans="1:27" ht="12" customHeight="1"/>
    <row r="33" ht="12" customHeight="1"/>
    <row r="34" ht="12" customHeight="1"/>
    <row r="35" ht="12" customHeight="1"/>
    <row r="36" ht="12" customHeight="1"/>
    <row r="37" ht="12" customHeight="1"/>
    <row r="38" ht="12" customHeight="1"/>
    <row r="39" ht="12" customHeight="1"/>
    <row r="40" ht="12" customHeight="1"/>
    <row r="41" ht="12" customHeight="1"/>
    <row r="42" ht="12" customHeight="1"/>
    <row r="43" ht="12" customHeight="1"/>
    <row r="44" ht="12" customHeight="1"/>
    <row r="45" ht="12" customHeight="1"/>
    <row r="46" ht="12" customHeight="1"/>
    <row r="47" ht="12" customHeight="1"/>
    <row r="48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</sheetData>
  <mergeCells count="8">
    <mergeCell ref="A1:S1"/>
    <mergeCell ref="R2:S2"/>
    <mergeCell ref="A3:E3"/>
    <mergeCell ref="G3:O4"/>
    <mergeCell ref="P3:P4"/>
    <mergeCell ref="Q3:Q4"/>
    <mergeCell ref="R3:R4"/>
    <mergeCell ref="S3:S4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scale="84" firstPageNumber="38" fitToHeight="0" orientation="landscape" useFirstPageNumber="1" r:id="rId1"/>
  <headerFooter scaleWithDoc="0" alignWithMargins="0">
    <oddFooter>&amp;C&amp;P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99FF"/>
    <pageSetUpPr fitToPage="1"/>
  </sheetPr>
  <dimension ref="A1:X110"/>
  <sheetViews>
    <sheetView view="pageBreakPreview" zoomScale="85" zoomScaleNormal="86" zoomScaleSheetLayoutView="85" workbookViewId="0">
      <pane xSplit="3" ySplit="7" topLeftCell="D8" activePane="bottomRight" state="frozen"/>
      <selection activeCell="V20" sqref="V20"/>
      <selection pane="topRight" activeCell="V20" sqref="V20"/>
      <selection pane="bottomLeft" activeCell="V20" sqref="V20"/>
      <selection pane="bottomRight" activeCell="V20" sqref="V20"/>
    </sheetView>
  </sheetViews>
  <sheetFormatPr defaultColWidth="9" defaultRowHeight="13.5"/>
  <cols>
    <col min="1" max="1" width="3.625" style="196" customWidth="1"/>
    <col min="2" max="3" width="3.625" style="193" customWidth="1"/>
    <col min="4" max="4" width="3.5" style="193" customWidth="1"/>
    <col min="5" max="5" width="10.625" style="196" customWidth="1"/>
    <col min="6" max="6" width="20.75" style="196" customWidth="1"/>
    <col min="7" max="7" width="13.125" style="195" bestFit="1" customWidth="1"/>
    <col min="8" max="8" width="2.125" style="196" customWidth="1"/>
    <col min="9" max="9" width="5.75" style="196" bestFit="1" customWidth="1"/>
    <col min="10" max="10" width="2.125" style="196" customWidth="1"/>
    <col min="11" max="11" width="5.125" style="196" bestFit="1" customWidth="1"/>
    <col min="12" max="12" width="2.75" style="196" customWidth="1"/>
    <col min="13" max="13" width="4.75" style="196" bestFit="1" customWidth="1"/>
    <col min="14" max="14" width="2.625" style="198" customWidth="1"/>
    <col min="15" max="15" width="12.625" style="196" customWidth="1"/>
    <col min="16" max="17" width="10.625" style="199" customWidth="1"/>
    <col min="18" max="18" width="10.625" style="200" customWidth="1"/>
    <col min="19" max="19" width="10.625" style="289" customWidth="1"/>
    <col min="20" max="16384" width="9" style="196"/>
  </cols>
  <sheetData>
    <row r="1" spans="1:24" s="192" customFormat="1" ht="35.1" customHeight="1">
      <c r="A1" s="1968" t="s">
        <v>1475</v>
      </c>
      <c r="B1" s="1968"/>
      <c r="C1" s="1968"/>
      <c r="D1" s="1968"/>
      <c r="E1" s="1968"/>
      <c r="F1" s="1968"/>
      <c r="G1" s="1968"/>
      <c r="H1" s="1968"/>
      <c r="I1" s="1968"/>
      <c r="J1" s="1968"/>
      <c r="K1" s="1968"/>
      <c r="L1" s="1968"/>
      <c r="M1" s="1968"/>
      <c r="N1" s="1968"/>
      <c r="O1" s="1968"/>
      <c r="P1" s="1968"/>
      <c r="Q1" s="1968"/>
      <c r="R1" s="1968"/>
      <c r="S1" s="1968"/>
    </row>
    <row r="2" spans="1:24" ht="15" customHeight="1" thickBot="1">
      <c r="A2" s="192" t="s">
        <v>1476</v>
      </c>
      <c r="R2" s="1969" t="s">
        <v>1477</v>
      </c>
      <c r="S2" s="1969"/>
    </row>
    <row r="3" spans="1:24" s="201" customFormat="1" ht="14.45" customHeight="1">
      <c r="A3" s="1970" t="s">
        <v>294</v>
      </c>
      <c r="B3" s="1971"/>
      <c r="C3" s="1971"/>
      <c r="D3" s="1971"/>
      <c r="E3" s="1971"/>
      <c r="F3" s="1749"/>
      <c r="G3" s="1972" t="s">
        <v>1368</v>
      </c>
      <c r="H3" s="1972"/>
      <c r="I3" s="1972"/>
      <c r="J3" s="1972"/>
      <c r="K3" s="1972"/>
      <c r="L3" s="1972"/>
      <c r="M3" s="1972"/>
      <c r="N3" s="1972"/>
      <c r="O3" s="1973"/>
      <c r="P3" s="1976" t="s">
        <v>296</v>
      </c>
      <c r="Q3" s="1978" t="s">
        <v>94</v>
      </c>
      <c r="R3" s="1980" t="s">
        <v>297</v>
      </c>
      <c r="S3" s="1982" t="s">
        <v>355</v>
      </c>
    </row>
    <row r="4" spans="1:24" s="201" customFormat="1" ht="14.45" customHeight="1" thickBot="1">
      <c r="A4" s="1750" t="s">
        <v>356</v>
      </c>
      <c r="B4" s="1751" t="s">
        <v>1373</v>
      </c>
      <c r="C4" s="1751" t="s">
        <v>358</v>
      </c>
      <c r="D4" s="1751" t="s">
        <v>359</v>
      </c>
      <c r="E4" s="1751" t="s">
        <v>1376</v>
      </c>
      <c r="F4" s="1752" t="s">
        <v>794</v>
      </c>
      <c r="G4" s="1974"/>
      <c r="H4" s="1974"/>
      <c r="I4" s="1974"/>
      <c r="J4" s="1974"/>
      <c r="K4" s="1974"/>
      <c r="L4" s="1974"/>
      <c r="M4" s="1974"/>
      <c r="N4" s="1974"/>
      <c r="O4" s="1975"/>
      <c r="P4" s="1977"/>
      <c r="Q4" s="1979"/>
      <c r="R4" s="1981"/>
      <c r="S4" s="1983"/>
    </row>
    <row r="5" spans="1:24" s="192" customFormat="1" ht="14.45" customHeight="1" thickBot="1">
      <c r="A5" s="923" t="s">
        <v>1478</v>
      </c>
      <c r="B5" s="924"/>
      <c r="C5" s="72"/>
      <c r="D5" s="72"/>
      <c r="E5" s="72"/>
      <c r="F5" s="72"/>
      <c r="G5" s="71"/>
      <c r="H5" s="72"/>
      <c r="I5" s="72"/>
      <c r="J5" s="72"/>
      <c r="K5" s="72"/>
      <c r="L5" s="72"/>
      <c r="M5" s="72"/>
      <c r="N5" s="74"/>
      <c r="O5" s="72"/>
      <c r="P5" s="75">
        <f>P6</f>
        <v>155514000</v>
      </c>
      <c r="Q5" s="75">
        <f>Q6</f>
        <v>114345000</v>
      </c>
      <c r="R5" s="925">
        <f>+P5-Q5</f>
        <v>41169000</v>
      </c>
      <c r="S5" s="203">
        <f>+R5/Q5</f>
        <v>0.36004197822379641</v>
      </c>
    </row>
    <row r="6" spans="1:24" s="192" customFormat="1" ht="14.45" customHeight="1">
      <c r="A6" s="204"/>
      <c r="B6" s="205" t="s">
        <v>1479</v>
      </c>
      <c r="C6" s="206"/>
      <c r="D6" s="206"/>
      <c r="E6" s="209"/>
      <c r="F6" s="209"/>
      <c r="G6" s="208"/>
      <c r="H6" s="209"/>
      <c r="I6" s="209"/>
      <c r="J6" s="209"/>
      <c r="K6" s="209"/>
      <c r="L6" s="209"/>
      <c r="M6" s="209"/>
      <c r="N6" s="210"/>
      <c r="O6" s="209"/>
      <c r="P6" s="211">
        <f>SUM(P7,P23)</f>
        <v>155514000</v>
      </c>
      <c r="Q6" s="211">
        <f>SUM(Q7,Q23)</f>
        <v>114345000</v>
      </c>
      <c r="R6" s="211">
        <f>+P6-Q6</f>
        <v>41169000</v>
      </c>
      <c r="S6" s="212">
        <f>+R6/Q6</f>
        <v>0.36004197822379641</v>
      </c>
    </row>
    <row r="7" spans="1:24" s="192" customFormat="1" ht="14.45" customHeight="1">
      <c r="A7" s="204"/>
      <c r="B7" s="213"/>
      <c r="C7" s="214" t="s">
        <v>1480</v>
      </c>
      <c r="D7" s="214"/>
      <c r="E7" s="217"/>
      <c r="F7" s="217"/>
      <c r="G7" s="216"/>
      <c r="H7" s="217"/>
      <c r="I7" s="217"/>
      <c r="J7" s="217"/>
      <c r="K7" s="217"/>
      <c r="L7" s="217"/>
      <c r="M7" s="217"/>
      <c r="N7" s="219"/>
      <c r="O7" s="217"/>
      <c r="P7" s="220">
        <f>SUM(P8,P15,P19)</f>
        <v>34620000</v>
      </c>
      <c r="Q7" s="220">
        <f>SUM(Q8,Q15,Q19)</f>
        <v>31920000</v>
      </c>
      <c r="R7" s="220">
        <f>+P7-Q7</f>
        <v>2700000</v>
      </c>
      <c r="S7" s="221">
        <f>+R7/Q7</f>
        <v>8.4586466165413529E-2</v>
      </c>
    </row>
    <row r="8" spans="1:24" s="192" customFormat="1" ht="14.45" customHeight="1">
      <c r="A8" s="204"/>
      <c r="B8" s="222"/>
      <c r="C8" s="223"/>
      <c r="D8" s="266" t="s">
        <v>1481</v>
      </c>
      <c r="E8" s="217"/>
      <c r="F8" s="217"/>
      <c r="G8" s="216"/>
      <c r="H8" s="217"/>
      <c r="I8" s="217"/>
      <c r="J8" s="217"/>
      <c r="K8" s="217"/>
      <c r="L8" s="217"/>
      <c r="M8" s="217"/>
      <c r="N8" s="219"/>
      <c r="O8" s="217"/>
      <c r="P8" s="220">
        <f>SUM(P9,P12)</f>
        <v>1620000</v>
      </c>
      <c r="Q8" s="220">
        <f>SUM(Q9,Q12)</f>
        <v>1560000</v>
      </c>
      <c r="R8" s="220">
        <f>+P8-Q8</f>
        <v>60000</v>
      </c>
      <c r="S8" s="221">
        <f t="shared" ref="S8:S9" si="0">+R8/Q8</f>
        <v>3.8461538461538464E-2</v>
      </c>
    </row>
    <row r="9" spans="1:24" ht="14.45" customHeight="1">
      <c r="A9" s="224"/>
      <c r="B9" s="225"/>
      <c r="C9" s="226"/>
      <c r="D9" s="267"/>
      <c r="E9" s="66" t="s">
        <v>1482</v>
      </c>
      <c r="F9" s="66"/>
      <c r="G9" s="228"/>
      <c r="H9" s="66"/>
      <c r="I9" s="66"/>
      <c r="J9" s="66"/>
      <c r="K9" s="66"/>
      <c r="L9" s="66"/>
      <c r="M9" s="66"/>
      <c r="N9" s="230"/>
      <c r="O9" s="66"/>
      <c r="P9" s="171">
        <f>O10</f>
        <v>420000</v>
      </c>
      <c r="Q9" s="171">
        <v>360000</v>
      </c>
      <c r="R9" s="171">
        <f>+P9-Q9</f>
        <v>60000</v>
      </c>
      <c r="S9" s="172">
        <f t="shared" si="0"/>
        <v>0.16666666666666666</v>
      </c>
      <c r="V9" s="236">
        <f>P9+P12+P16</f>
        <v>1980000</v>
      </c>
      <c r="W9" s="236">
        <f>Q9+Q12+Q16</f>
        <v>1920000</v>
      </c>
    </row>
    <row r="10" spans="1:24" ht="14.45" customHeight="1">
      <c r="A10" s="224"/>
      <c r="B10" s="225"/>
      <c r="C10" s="226"/>
      <c r="D10" s="225"/>
      <c r="E10" s="240"/>
      <c r="F10" s="240" t="s">
        <v>1483</v>
      </c>
      <c r="G10" s="249"/>
      <c r="H10" s="240"/>
      <c r="I10" s="240"/>
      <c r="J10" s="240"/>
      <c r="K10" s="240"/>
      <c r="L10" s="240"/>
      <c r="M10" s="240"/>
      <c r="N10" s="244"/>
      <c r="O10" s="251">
        <f>SUM(O11:O11)</f>
        <v>420000</v>
      </c>
      <c r="P10" s="235"/>
      <c r="Q10" s="235"/>
      <c r="R10" s="235"/>
      <c r="S10" s="246"/>
    </row>
    <row r="11" spans="1:24" ht="14.45" customHeight="1">
      <c r="A11" s="224"/>
      <c r="B11" s="225"/>
      <c r="C11" s="226"/>
      <c r="D11" s="225"/>
      <c r="E11" s="998"/>
      <c r="F11" s="998" t="s">
        <v>1484</v>
      </c>
      <c r="G11" s="252">
        <v>35000</v>
      </c>
      <c r="H11" s="240" t="s">
        <v>277</v>
      </c>
      <c r="I11" s="242">
        <v>12</v>
      </c>
      <c r="J11" s="240"/>
      <c r="K11" s="242"/>
      <c r="L11" s="240"/>
      <c r="M11" s="240"/>
      <c r="N11" s="244" t="s">
        <v>1485</v>
      </c>
      <c r="O11" s="245">
        <f>G11*I11</f>
        <v>420000</v>
      </c>
      <c r="P11" s="235"/>
      <c r="Q11" s="235"/>
      <c r="R11" s="235"/>
      <c r="S11" s="246"/>
    </row>
    <row r="12" spans="1:24" ht="14.45" customHeight="1">
      <c r="A12" s="224"/>
      <c r="B12" s="225"/>
      <c r="C12" s="226"/>
      <c r="D12" s="225"/>
      <c r="E12" s="66" t="s">
        <v>1486</v>
      </c>
      <c r="F12" s="66"/>
      <c r="G12" s="228"/>
      <c r="H12" s="66"/>
      <c r="I12" s="66"/>
      <c r="J12" s="66"/>
      <c r="K12" s="66"/>
      <c r="L12" s="66"/>
      <c r="M12" s="66"/>
      <c r="N12" s="230"/>
      <c r="O12" s="66"/>
      <c r="P12" s="171">
        <f>O13</f>
        <v>1200000</v>
      </c>
      <c r="Q12" s="171">
        <v>1200000</v>
      </c>
      <c r="R12" s="171">
        <f>+P12-Q12</f>
        <v>0</v>
      </c>
      <c r="S12" s="172">
        <f t="shared" ref="S12" si="1">+R12/Q12</f>
        <v>0</v>
      </c>
    </row>
    <row r="13" spans="1:24" ht="14.45" customHeight="1">
      <c r="A13" s="224"/>
      <c r="B13" s="225"/>
      <c r="C13" s="226"/>
      <c r="D13" s="225"/>
      <c r="E13" s="240"/>
      <c r="F13" s="240" t="s">
        <v>1487</v>
      </c>
      <c r="G13" s="249"/>
      <c r="H13" s="240"/>
      <c r="I13" s="241"/>
      <c r="J13" s="240"/>
      <c r="K13" s="240"/>
      <c r="L13" s="240"/>
      <c r="M13" s="240"/>
      <c r="N13" s="244"/>
      <c r="O13" s="1032">
        <f>O14</f>
        <v>1200000</v>
      </c>
      <c r="P13" s="235"/>
      <c r="Q13" s="235"/>
      <c r="R13" s="235"/>
      <c r="S13" s="246"/>
      <c r="V13" s="236"/>
      <c r="X13" s="236"/>
    </row>
    <row r="14" spans="1:24" ht="14.45" customHeight="1">
      <c r="A14" s="224"/>
      <c r="B14" s="225"/>
      <c r="C14" s="226"/>
      <c r="D14" s="225"/>
      <c r="E14" s="240"/>
      <c r="F14" s="240" t="s">
        <v>1488</v>
      </c>
      <c r="G14" s="249">
        <v>5000</v>
      </c>
      <c r="H14" s="240" t="s">
        <v>109</v>
      </c>
      <c r="I14" s="241">
        <v>20</v>
      </c>
      <c r="J14" s="240" t="s">
        <v>109</v>
      </c>
      <c r="K14" s="256">
        <v>12</v>
      </c>
      <c r="L14" s="240"/>
      <c r="M14" s="240"/>
      <c r="N14" s="244" t="s">
        <v>110</v>
      </c>
      <c r="O14" s="249">
        <f>G14*I14*K14</f>
        <v>1200000</v>
      </c>
      <c r="P14" s="235"/>
      <c r="Q14" s="235"/>
      <c r="R14" s="235"/>
      <c r="S14" s="246"/>
    </row>
    <row r="15" spans="1:24" s="192" customFormat="1" ht="14.45" customHeight="1">
      <c r="A15" s="204"/>
      <c r="B15" s="222"/>
      <c r="C15" s="223"/>
      <c r="D15" s="266" t="s">
        <v>1489</v>
      </c>
      <c r="E15" s="217"/>
      <c r="F15" s="217"/>
      <c r="G15" s="216"/>
      <c r="H15" s="217"/>
      <c r="I15" s="217"/>
      <c r="J15" s="217"/>
      <c r="K15" s="217"/>
      <c r="L15" s="217"/>
      <c r="M15" s="217"/>
      <c r="N15" s="219"/>
      <c r="O15" s="217"/>
      <c r="P15" s="220">
        <f>SUM(P16:P18)</f>
        <v>360000</v>
      </c>
      <c r="Q15" s="220">
        <f>Q16</f>
        <v>360000</v>
      </c>
      <c r="R15" s="220">
        <f>+P15-Q15</f>
        <v>0</v>
      </c>
      <c r="S15" s="221">
        <f>+R15/Q15</f>
        <v>0</v>
      </c>
    </row>
    <row r="16" spans="1:24" ht="14.45" customHeight="1">
      <c r="A16" s="224"/>
      <c r="B16" s="225"/>
      <c r="C16" s="226"/>
      <c r="D16" s="267"/>
      <c r="E16" s="66" t="s">
        <v>1490</v>
      </c>
      <c r="F16" s="66"/>
      <c r="G16" s="228"/>
      <c r="H16" s="66"/>
      <c r="I16" s="66"/>
      <c r="J16" s="66"/>
      <c r="K16" s="66"/>
      <c r="L16" s="66"/>
      <c r="M16" s="66"/>
      <c r="N16" s="230"/>
      <c r="O16" s="66"/>
      <c r="P16" s="171">
        <f>ROUNDUP(O17,-3)</f>
        <v>360000</v>
      </c>
      <c r="Q16" s="171">
        <v>360000</v>
      </c>
      <c r="R16" s="171">
        <f>+P16-Q16</f>
        <v>0</v>
      </c>
      <c r="S16" s="172">
        <f t="shared" ref="S16" si="2">+R16/Q16</f>
        <v>0</v>
      </c>
    </row>
    <row r="17" spans="1:19" ht="14.45" customHeight="1">
      <c r="A17" s="224"/>
      <c r="B17" s="225"/>
      <c r="C17" s="226"/>
      <c r="D17" s="225"/>
      <c r="E17" s="240"/>
      <c r="F17" s="240" t="s">
        <v>341</v>
      </c>
      <c r="G17" s="249"/>
      <c r="H17" s="240"/>
      <c r="I17" s="240"/>
      <c r="J17" s="240"/>
      <c r="K17" s="240"/>
      <c r="L17" s="240"/>
      <c r="M17" s="240"/>
      <c r="N17" s="244"/>
      <c r="O17" s="251">
        <f>SUM(O18:O18)</f>
        <v>360000</v>
      </c>
      <c r="P17" s="235"/>
      <c r="Q17" s="235"/>
      <c r="R17" s="235"/>
      <c r="S17" s="246"/>
    </row>
    <row r="18" spans="1:19" ht="14.45" customHeight="1">
      <c r="A18" s="224"/>
      <c r="B18" s="225"/>
      <c r="C18" s="226"/>
      <c r="D18" s="225"/>
      <c r="E18" s="998"/>
      <c r="F18" s="998" t="s">
        <v>1491</v>
      </c>
      <c r="G18" s="252">
        <v>5000</v>
      </c>
      <c r="H18" s="240" t="s">
        <v>109</v>
      </c>
      <c r="I18" s="256">
        <v>6</v>
      </c>
      <c r="J18" s="240" t="s">
        <v>109</v>
      </c>
      <c r="K18" s="242">
        <v>12</v>
      </c>
      <c r="L18" s="240"/>
      <c r="M18" s="240"/>
      <c r="N18" s="244" t="s">
        <v>110</v>
      </c>
      <c r="O18" s="245">
        <f>G18*I18*K18</f>
        <v>360000</v>
      </c>
      <c r="P18" s="235"/>
      <c r="Q18" s="235"/>
      <c r="R18" s="235"/>
      <c r="S18" s="246"/>
    </row>
    <row r="19" spans="1:19" ht="14.45" customHeight="1">
      <c r="A19" s="224"/>
      <c r="B19" s="225"/>
      <c r="C19" s="226"/>
      <c r="D19" s="266" t="s">
        <v>1492</v>
      </c>
      <c r="E19" s="217"/>
      <c r="F19" s="217"/>
      <c r="G19" s="216"/>
      <c r="H19" s="217"/>
      <c r="I19" s="217"/>
      <c r="J19" s="217"/>
      <c r="K19" s="217"/>
      <c r="L19" s="217"/>
      <c r="M19" s="217"/>
      <c r="N19" s="219"/>
      <c r="O19" s="217"/>
      <c r="P19" s="220">
        <f>SUM(P20:P22)</f>
        <v>32640000</v>
      </c>
      <c r="Q19" s="220">
        <f>Q20</f>
        <v>30000000</v>
      </c>
      <c r="R19" s="220">
        <f>+P19-Q19</f>
        <v>2640000</v>
      </c>
      <c r="S19" s="221">
        <f>+R19/Q19</f>
        <v>8.7999999999999995E-2</v>
      </c>
    </row>
    <row r="20" spans="1:19" ht="14.45" customHeight="1">
      <c r="A20" s="224"/>
      <c r="B20" s="225"/>
      <c r="C20" s="226"/>
      <c r="D20" s="267"/>
      <c r="E20" s="66" t="s">
        <v>609</v>
      </c>
      <c r="F20" s="66"/>
      <c r="G20" s="228"/>
      <c r="H20" s="66"/>
      <c r="I20" s="66"/>
      <c r="J20" s="66"/>
      <c r="K20" s="66"/>
      <c r="L20" s="66"/>
      <c r="M20" s="66" t="s">
        <v>2610</v>
      </c>
      <c r="N20" s="230"/>
      <c r="O20" s="66"/>
      <c r="P20" s="171">
        <f>ROUNDUP(O21,-3)</f>
        <v>32640000</v>
      </c>
      <c r="Q20" s="171">
        <v>30000000</v>
      </c>
      <c r="R20" s="171">
        <f>+P20-Q20</f>
        <v>2640000</v>
      </c>
      <c r="S20" s="172">
        <f t="shared" ref="S20" si="3">+R20/Q20</f>
        <v>8.7999999999999995E-2</v>
      </c>
    </row>
    <row r="21" spans="1:19" ht="14.45" customHeight="1">
      <c r="A21" s="224"/>
      <c r="B21" s="225"/>
      <c r="C21" s="226"/>
      <c r="D21" s="225"/>
      <c r="E21" s="240"/>
      <c r="F21" s="240" t="s">
        <v>1493</v>
      </c>
      <c r="G21" s="249"/>
      <c r="H21" s="240"/>
      <c r="I21" s="240"/>
      <c r="J21" s="240"/>
      <c r="K21" s="240"/>
      <c r="L21" s="240"/>
      <c r="M21" s="240"/>
      <c r="N21" s="244"/>
      <c r="O21" s="251">
        <f>SUM(O22:O22)</f>
        <v>32640000</v>
      </c>
      <c r="P21" s="235"/>
      <c r="Q21" s="235"/>
      <c r="R21" s="235"/>
      <c r="S21" s="246"/>
    </row>
    <row r="22" spans="1:19" ht="14.45" customHeight="1">
      <c r="A22" s="224"/>
      <c r="B22" s="225"/>
      <c r="C22" s="226"/>
      <c r="D22" s="278"/>
      <c r="E22" s="998"/>
      <c r="F22" s="998" t="s">
        <v>610</v>
      </c>
      <c r="G22" s="252">
        <v>2720000</v>
      </c>
      <c r="H22" s="240" t="s">
        <v>277</v>
      </c>
      <c r="I22" s="242">
        <v>12</v>
      </c>
      <c r="J22" s="240"/>
      <c r="K22" s="242"/>
      <c r="L22" s="240"/>
      <c r="M22" s="240"/>
      <c r="N22" s="244" t="s">
        <v>283</v>
      </c>
      <c r="O22" s="245">
        <f>G22*I22</f>
        <v>32640000</v>
      </c>
      <c r="P22" s="235"/>
      <c r="Q22" s="235"/>
      <c r="R22" s="235"/>
      <c r="S22" s="246"/>
    </row>
    <row r="23" spans="1:19" s="192" customFormat="1" ht="14.45" customHeight="1">
      <c r="A23" s="204"/>
      <c r="B23" s="222"/>
      <c r="C23" s="214" t="s">
        <v>1494</v>
      </c>
      <c r="D23" s="266"/>
      <c r="E23" s="217"/>
      <c r="F23" s="217"/>
      <c r="G23" s="216"/>
      <c r="H23" s="217"/>
      <c r="I23" s="217"/>
      <c r="J23" s="217"/>
      <c r="K23" s="217"/>
      <c r="L23" s="217"/>
      <c r="M23" s="217"/>
      <c r="N23" s="219"/>
      <c r="O23" s="217"/>
      <c r="P23" s="220">
        <f>SUM(P24,P28,P32)</f>
        <v>120894000</v>
      </c>
      <c r="Q23" s="220">
        <f>SUM(Q24,Q28,Q32)</f>
        <v>82425000</v>
      </c>
      <c r="R23" s="220">
        <f>+P23-Q23</f>
        <v>38469000</v>
      </c>
      <c r="S23" s="221">
        <f>+R23/Q23</f>
        <v>0.46671519563239311</v>
      </c>
    </row>
    <row r="24" spans="1:19" s="192" customFormat="1" ht="14.45" customHeight="1">
      <c r="A24" s="204"/>
      <c r="B24" s="222"/>
      <c r="C24" s="213"/>
      <c r="D24" s="266" t="s">
        <v>1495</v>
      </c>
      <c r="E24" s="217"/>
      <c r="F24" s="217"/>
      <c r="G24" s="216"/>
      <c r="H24" s="217"/>
      <c r="I24" s="217"/>
      <c r="J24" s="217"/>
      <c r="K24" s="217"/>
      <c r="L24" s="217"/>
      <c r="M24" s="217"/>
      <c r="N24" s="219"/>
      <c r="O24" s="217"/>
      <c r="P24" s="220">
        <f>SUM(P25:P27)</f>
        <v>13000</v>
      </c>
      <c r="Q24" s="220">
        <f>SUM(Q25:Q27)</f>
        <v>0</v>
      </c>
      <c r="R24" s="220">
        <f>+P24-Q24</f>
        <v>13000</v>
      </c>
      <c r="S24" s="221">
        <v>1</v>
      </c>
    </row>
    <row r="25" spans="1:19" ht="14.45" customHeight="1">
      <c r="A25" s="224"/>
      <c r="B25" s="225"/>
      <c r="C25" s="225"/>
      <c r="D25" s="267"/>
      <c r="E25" s="255" t="s">
        <v>1024</v>
      </c>
      <c r="F25" s="66"/>
      <c r="G25" s="228"/>
      <c r="H25" s="66"/>
      <c r="I25" s="66"/>
      <c r="J25" s="66"/>
      <c r="K25" s="66"/>
      <c r="L25" s="66"/>
      <c r="M25" s="66"/>
      <c r="N25" s="230"/>
      <c r="O25" s="66"/>
      <c r="P25" s="171">
        <f>ROUNDUP(O26,-3)</f>
        <v>13000</v>
      </c>
      <c r="Q25" s="171">
        <f>Q27</f>
        <v>0</v>
      </c>
      <c r="R25" s="171">
        <f>+P25-Q25</f>
        <v>13000</v>
      </c>
      <c r="S25" s="1814">
        <v>1</v>
      </c>
    </row>
    <row r="26" spans="1:19" ht="14.45" customHeight="1">
      <c r="A26" s="224"/>
      <c r="B26" s="225"/>
      <c r="C26" s="225"/>
      <c r="D26" s="225"/>
      <c r="E26" s="240"/>
      <c r="F26" s="240" t="s">
        <v>1496</v>
      </c>
      <c r="G26" s="249"/>
      <c r="H26" s="240"/>
      <c r="I26" s="240"/>
      <c r="J26" s="240"/>
      <c r="K26" s="240"/>
      <c r="L26" s="240"/>
      <c r="M26" s="240"/>
      <c r="N26" s="244"/>
      <c r="O26" s="251">
        <f>SUM(O27:O27)</f>
        <v>13000</v>
      </c>
      <c r="P26" s="235"/>
      <c r="Q26" s="235"/>
      <c r="R26" s="235"/>
      <c r="S26" s="246"/>
    </row>
    <row r="27" spans="1:19" ht="14.45" customHeight="1">
      <c r="A27" s="224"/>
      <c r="B27" s="225"/>
      <c r="C27" s="225"/>
      <c r="D27" s="278"/>
      <c r="E27" s="998"/>
      <c r="F27" s="998" t="s">
        <v>489</v>
      </c>
      <c r="G27" s="252">
        <v>13000</v>
      </c>
      <c r="H27" s="240" t="s">
        <v>282</v>
      </c>
      <c r="I27" s="999">
        <v>1</v>
      </c>
      <c r="J27" s="240"/>
      <c r="K27" s="242"/>
      <c r="L27" s="240"/>
      <c r="M27" s="240"/>
      <c r="N27" s="244" t="s">
        <v>281</v>
      </c>
      <c r="O27" s="245">
        <f>G27*I27</f>
        <v>13000</v>
      </c>
      <c r="P27" s="235"/>
      <c r="Q27" s="235"/>
      <c r="R27" s="235"/>
      <c r="S27" s="246"/>
    </row>
    <row r="28" spans="1:19" s="192" customFormat="1" ht="14.45" customHeight="1">
      <c r="A28" s="204"/>
      <c r="B28" s="222"/>
      <c r="C28" s="222"/>
      <c r="D28" s="850" t="s">
        <v>111</v>
      </c>
      <c r="E28" s="217"/>
      <c r="F28" s="217"/>
      <c r="G28" s="216"/>
      <c r="H28" s="217"/>
      <c r="I28" s="217"/>
      <c r="J28" s="217"/>
      <c r="K28" s="217"/>
      <c r="L28" s="217"/>
      <c r="M28" s="217"/>
      <c r="N28" s="219"/>
      <c r="O28" s="217"/>
      <c r="P28" s="220">
        <f>SUM(P29:P31)</f>
        <v>118473000</v>
      </c>
      <c r="Q28" s="220">
        <f>Q29</f>
        <v>80325000</v>
      </c>
      <c r="R28" s="220">
        <f>+P28-Q28</f>
        <v>38148000</v>
      </c>
      <c r="S28" s="221">
        <f>+R28/Q28</f>
        <v>0.47492063492063491</v>
      </c>
    </row>
    <row r="29" spans="1:19" ht="14.45" customHeight="1">
      <c r="A29" s="224"/>
      <c r="B29" s="225"/>
      <c r="C29" s="225"/>
      <c r="D29" s="267"/>
      <c r="E29" s="861" t="s">
        <v>1025</v>
      </c>
      <c r="F29" s="66"/>
      <c r="G29" s="228"/>
      <c r="H29" s="66"/>
      <c r="I29" s="66"/>
      <c r="J29" s="66"/>
      <c r="K29" s="66"/>
      <c r="L29" s="66"/>
      <c r="M29" s="66"/>
      <c r="N29" s="230"/>
      <c r="O29" s="66"/>
      <c r="P29" s="171">
        <f>ROUNDUP(O30,-3)</f>
        <v>118473000</v>
      </c>
      <c r="Q29" s="171">
        <v>80325000</v>
      </c>
      <c r="R29" s="171">
        <f>+P29-Q29</f>
        <v>38148000</v>
      </c>
      <c r="S29" s="172">
        <f t="shared" ref="S29" si="4">+R29/Q29</f>
        <v>0.47492063492063491</v>
      </c>
    </row>
    <row r="30" spans="1:19" ht="14.45" customHeight="1">
      <c r="A30" s="224"/>
      <c r="B30" s="225"/>
      <c r="C30" s="225"/>
      <c r="D30" s="225"/>
      <c r="E30" s="1000"/>
      <c r="F30" s="1093" t="s">
        <v>2413</v>
      </c>
      <c r="G30" s="970"/>
      <c r="H30" s="969"/>
      <c r="I30" s="969"/>
      <c r="J30" s="969"/>
      <c r="K30" s="969"/>
      <c r="L30" s="969"/>
      <c r="M30" s="969"/>
      <c r="N30" s="971"/>
      <c r="O30" s="1038">
        <f>SUM(O31:O31)</f>
        <v>118473000</v>
      </c>
      <c r="P30" s="263"/>
      <c r="Q30" s="263"/>
      <c r="R30" s="263"/>
      <c r="S30" s="264"/>
    </row>
    <row r="31" spans="1:19" ht="14.45" customHeight="1">
      <c r="A31" s="204"/>
      <c r="B31" s="225"/>
      <c r="C31" s="225"/>
      <c r="D31" s="278"/>
      <c r="E31" s="1140"/>
      <c r="F31" s="1141" t="s">
        <v>2415</v>
      </c>
      <c r="G31" s="1039">
        <v>118473000</v>
      </c>
      <c r="H31" s="927" t="s">
        <v>282</v>
      </c>
      <c r="I31" s="975">
        <v>1</v>
      </c>
      <c r="J31" s="927"/>
      <c r="K31" s="976"/>
      <c r="L31" s="927"/>
      <c r="M31" s="927"/>
      <c r="N31" s="929" t="s">
        <v>274</v>
      </c>
      <c r="O31" s="1041">
        <f>G31</f>
        <v>118473000</v>
      </c>
      <c r="P31" s="287"/>
      <c r="Q31" s="287"/>
      <c r="R31" s="287"/>
      <c r="S31" s="288"/>
    </row>
    <row r="32" spans="1:19" s="192" customFormat="1" ht="14.45" customHeight="1">
      <c r="A32" s="204"/>
      <c r="B32" s="222"/>
      <c r="C32" s="222"/>
      <c r="D32" s="205" t="s">
        <v>1497</v>
      </c>
      <c r="E32" s="209"/>
      <c r="F32" s="209"/>
      <c r="G32" s="208"/>
      <c r="H32" s="209"/>
      <c r="I32" s="209"/>
      <c r="J32" s="209"/>
      <c r="K32" s="209"/>
      <c r="L32" s="209"/>
      <c r="M32" s="209"/>
      <c r="N32" s="210"/>
      <c r="O32" s="209"/>
      <c r="P32" s="211">
        <f>SUM(P33:P37)</f>
        <v>2408000</v>
      </c>
      <c r="Q32" s="211">
        <f>Q33</f>
        <v>2100000</v>
      </c>
      <c r="R32" s="211">
        <f>+P32-Q32</f>
        <v>308000</v>
      </c>
      <c r="S32" s="212">
        <f>+R32/Q32</f>
        <v>0.14666666666666667</v>
      </c>
    </row>
    <row r="33" spans="1:19" ht="14.45" customHeight="1">
      <c r="A33" s="224"/>
      <c r="B33" s="225"/>
      <c r="C33" s="225"/>
      <c r="D33" s="267"/>
      <c r="E33" s="255" t="s">
        <v>1498</v>
      </c>
      <c r="F33" s="66"/>
      <c r="G33" s="228"/>
      <c r="H33" s="66"/>
      <c r="I33" s="66"/>
      <c r="J33" s="66"/>
      <c r="K33" s="66"/>
      <c r="L33" s="66"/>
      <c r="M33" s="66"/>
      <c r="N33" s="230"/>
      <c r="O33" s="66"/>
      <c r="P33" s="171">
        <f>ROUNDUP(O34,-3)</f>
        <v>2408000</v>
      </c>
      <c r="Q33" s="171">
        <v>2100000</v>
      </c>
      <c r="R33" s="171">
        <f>+P33-Q33</f>
        <v>308000</v>
      </c>
      <c r="S33" s="172">
        <f t="shared" ref="S33" si="5">+R33/Q33</f>
        <v>0.14666666666666667</v>
      </c>
    </row>
    <row r="34" spans="1:19" ht="14.45" customHeight="1">
      <c r="A34" s="224"/>
      <c r="B34" s="225"/>
      <c r="C34" s="225"/>
      <c r="D34" s="225"/>
      <c r="E34" s="1000"/>
      <c r="F34" s="240" t="s">
        <v>1499</v>
      </c>
      <c r="G34" s="259"/>
      <c r="H34" s="260"/>
      <c r="I34" s="260"/>
      <c r="J34" s="260"/>
      <c r="K34" s="260"/>
      <c r="L34" s="260"/>
      <c r="M34" s="260"/>
      <c r="N34" s="261"/>
      <c r="O34" s="262">
        <f>SUM(O35:O37)</f>
        <v>2408000</v>
      </c>
      <c r="P34" s="263"/>
      <c r="Q34" s="263"/>
      <c r="R34" s="263"/>
      <c r="S34" s="264"/>
    </row>
    <row r="35" spans="1:19" ht="14.45" customHeight="1">
      <c r="A35" s="224"/>
      <c r="B35" s="225"/>
      <c r="C35" s="225"/>
      <c r="D35" s="225"/>
      <c r="E35" s="1142"/>
      <c r="F35" s="240" t="s">
        <v>1500</v>
      </c>
      <c r="G35" s="252">
        <v>1500000</v>
      </c>
      <c r="H35" s="240" t="s">
        <v>282</v>
      </c>
      <c r="I35" s="265">
        <v>1</v>
      </c>
      <c r="J35" s="240"/>
      <c r="K35" s="242"/>
      <c r="L35" s="240"/>
      <c r="M35" s="240"/>
      <c r="N35" s="244" t="s">
        <v>274</v>
      </c>
      <c r="O35" s="1143">
        <f>G35</f>
        <v>1500000</v>
      </c>
      <c r="P35" s="1144"/>
      <c r="Q35" s="235"/>
      <c r="R35" s="235"/>
      <c r="S35" s="246"/>
    </row>
    <row r="36" spans="1:19" ht="14.45" customHeight="1">
      <c r="A36" s="224"/>
      <c r="B36" s="225"/>
      <c r="C36" s="225"/>
      <c r="D36" s="225"/>
      <c r="E36" s="1142"/>
      <c r="F36" s="240" t="s">
        <v>1501</v>
      </c>
      <c r="G36" s="252">
        <v>600000</v>
      </c>
      <c r="H36" s="240" t="s">
        <v>273</v>
      </c>
      <c r="I36" s="265">
        <v>1</v>
      </c>
      <c r="J36" s="240"/>
      <c r="K36" s="242"/>
      <c r="L36" s="240"/>
      <c r="M36" s="240"/>
      <c r="N36" s="244" t="s">
        <v>281</v>
      </c>
      <c r="O36" s="1143">
        <f>G36</f>
        <v>600000</v>
      </c>
      <c r="P36" s="1144"/>
      <c r="Q36" s="235"/>
      <c r="R36" s="235"/>
      <c r="S36" s="246"/>
    </row>
    <row r="37" spans="1:19" ht="14.45" customHeight="1" thickBot="1">
      <c r="A37" s="1005"/>
      <c r="B37" s="426"/>
      <c r="C37" s="426"/>
      <c r="D37" s="426"/>
      <c r="E37" s="1097"/>
      <c r="F37" s="434" t="s">
        <v>1502</v>
      </c>
      <c r="G37" s="433">
        <v>308000</v>
      </c>
      <c r="H37" s="434" t="s">
        <v>273</v>
      </c>
      <c r="I37" s="1136">
        <v>1</v>
      </c>
      <c r="J37" s="434"/>
      <c r="K37" s="436"/>
      <c r="L37" s="434"/>
      <c r="M37" s="434"/>
      <c r="N37" s="437" t="s">
        <v>283</v>
      </c>
      <c r="O37" s="438">
        <f>G37</f>
        <v>308000</v>
      </c>
      <c r="P37" s="1014"/>
      <c r="Q37" s="1014"/>
      <c r="R37" s="1014"/>
      <c r="S37" s="1016"/>
    </row>
    <row r="38" spans="1:19" ht="12" customHeight="1"/>
    <row r="39" spans="1:19" ht="12" customHeight="1"/>
    <row r="40" spans="1:19" ht="12" customHeight="1"/>
    <row r="41" spans="1:19" ht="12" customHeight="1"/>
    <row r="42" spans="1:19" ht="12" customHeight="1"/>
    <row r="43" spans="1:19" ht="12" customHeight="1"/>
    <row r="44" spans="1:19" ht="12" customHeight="1"/>
    <row r="45" spans="1:19" ht="12" customHeight="1"/>
    <row r="46" spans="1:19" ht="12" customHeight="1"/>
    <row r="47" spans="1:19" ht="12" customHeight="1"/>
    <row r="48" spans="1:19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</sheetData>
  <mergeCells count="8">
    <mergeCell ref="A1:S1"/>
    <mergeCell ref="R2:S2"/>
    <mergeCell ref="A3:E3"/>
    <mergeCell ref="G3:O4"/>
    <mergeCell ref="P3:P4"/>
    <mergeCell ref="Q3:Q4"/>
    <mergeCell ref="R3:R4"/>
    <mergeCell ref="S3:S4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scale="85" firstPageNumber="39" fitToHeight="0" orientation="landscape" useFirstPageNumber="1" horizontalDpi="4294967293" r:id="rId1"/>
  <headerFooter scaleWithDoc="0" alignWithMargins="0">
    <oddFooter>&amp;C&amp;P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99FF"/>
    <pageSetUpPr fitToPage="1"/>
  </sheetPr>
  <dimension ref="A1:S93"/>
  <sheetViews>
    <sheetView view="pageBreakPreview" zoomScale="85" zoomScaleNormal="85" zoomScaleSheetLayoutView="85" workbookViewId="0">
      <pane xSplit="3" ySplit="7" topLeftCell="D8" activePane="bottomRight" state="frozen"/>
      <selection activeCell="V20" sqref="V20"/>
      <selection pane="topRight" activeCell="V20" sqref="V20"/>
      <selection pane="bottomLeft" activeCell="V20" sqref="V20"/>
      <selection pane="bottomRight" activeCell="V20" sqref="V20"/>
    </sheetView>
  </sheetViews>
  <sheetFormatPr defaultColWidth="9" defaultRowHeight="13.5"/>
  <cols>
    <col min="1" max="1" width="3.625" style="196" customWidth="1"/>
    <col min="2" max="4" width="3.625" style="193" customWidth="1"/>
    <col min="5" max="5" width="10.625" style="196" customWidth="1"/>
    <col min="6" max="6" width="20.625" style="196" customWidth="1"/>
    <col min="7" max="7" width="11.5" style="195" bestFit="1" customWidth="1"/>
    <col min="8" max="8" width="2.125" style="196" customWidth="1"/>
    <col min="9" max="9" width="5.75" style="196" bestFit="1" customWidth="1"/>
    <col min="10" max="10" width="2.125" style="196" customWidth="1"/>
    <col min="11" max="11" width="6" style="196" bestFit="1" customWidth="1"/>
    <col min="12" max="12" width="2.75" style="196" customWidth="1"/>
    <col min="13" max="13" width="4.875" style="196" bestFit="1" customWidth="1"/>
    <col min="14" max="14" width="2.625" style="198" customWidth="1"/>
    <col min="15" max="15" width="12.625" style="196" customWidth="1"/>
    <col min="16" max="16" width="10.625" style="199" customWidth="1"/>
    <col min="17" max="18" width="10.625" style="200" customWidth="1"/>
    <col min="19" max="19" width="10.625" style="289" customWidth="1"/>
    <col min="20" max="16384" width="9" style="196"/>
  </cols>
  <sheetData>
    <row r="1" spans="1:19" s="192" customFormat="1" ht="35.1" customHeight="1">
      <c r="A1" s="1968" t="s">
        <v>1551</v>
      </c>
      <c r="B1" s="1968"/>
      <c r="C1" s="1968"/>
      <c r="D1" s="1968"/>
      <c r="E1" s="1968"/>
      <c r="F1" s="1968"/>
      <c r="G1" s="1968"/>
      <c r="H1" s="1968"/>
      <c r="I1" s="1968"/>
      <c r="J1" s="1968"/>
      <c r="K1" s="1968"/>
      <c r="L1" s="1968"/>
      <c r="M1" s="1968"/>
      <c r="N1" s="1968"/>
      <c r="O1" s="1968"/>
      <c r="P1" s="1968"/>
      <c r="Q1" s="1968"/>
      <c r="R1" s="1968"/>
      <c r="S1" s="1968"/>
    </row>
    <row r="2" spans="1:19" ht="15" customHeight="1" thickBot="1">
      <c r="A2" s="192" t="s">
        <v>1552</v>
      </c>
      <c r="R2" s="1969" t="s">
        <v>474</v>
      </c>
      <c r="S2" s="1969"/>
    </row>
    <row r="3" spans="1:19" s="201" customFormat="1" ht="15" customHeight="1">
      <c r="A3" s="1970" t="s">
        <v>294</v>
      </c>
      <c r="B3" s="1971"/>
      <c r="C3" s="1971"/>
      <c r="D3" s="1971"/>
      <c r="E3" s="1971"/>
      <c r="F3" s="1749"/>
      <c r="G3" s="1972" t="s">
        <v>1368</v>
      </c>
      <c r="H3" s="1972"/>
      <c r="I3" s="1972"/>
      <c r="J3" s="1972"/>
      <c r="K3" s="1972"/>
      <c r="L3" s="1972"/>
      <c r="M3" s="1972"/>
      <c r="N3" s="1972"/>
      <c r="O3" s="1973"/>
      <c r="P3" s="1976" t="s">
        <v>296</v>
      </c>
      <c r="Q3" s="1978" t="s">
        <v>94</v>
      </c>
      <c r="R3" s="1980" t="s">
        <v>297</v>
      </c>
      <c r="S3" s="1982" t="s">
        <v>355</v>
      </c>
    </row>
    <row r="4" spans="1:19" s="201" customFormat="1" ht="15" customHeight="1" thickBot="1">
      <c r="A4" s="1750" t="s">
        <v>356</v>
      </c>
      <c r="B4" s="1751" t="s">
        <v>1373</v>
      </c>
      <c r="C4" s="1751" t="s">
        <v>358</v>
      </c>
      <c r="D4" s="1751" t="s">
        <v>359</v>
      </c>
      <c r="E4" s="1751" t="s">
        <v>1376</v>
      </c>
      <c r="F4" s="1752" t="s">
        <v>794</v>
      </c>
      <c r="G4" s="1974"/>
      <c r="H4" s="1974"/>
      <c r="I4" s="1974"/>
      <c r="J4" s="1974"/>
      <c r="K4" s="1974"/>
      <c r="L4" s="1974"/>
      <c r="M4" s="1974"/>
      <c r="N4" s="1974"/>
      <c r="O4" s="1975"/>
      <c r="P4" s="1977"/>
      <c r="Q4" s="1979"/>
      <c r="R4" s="1981"/>
      <c r="S4" s="1983"/>
    </row>
    <row r="5" spans="1:19" s="299" customFormat="1" ht="15" customHeight="1" thickBot="1">
      <c r="A5" s="1145" t="s">
        <v>2515</v>
      </c>
      <c r="B5" s="1146"/>
      <c r="C5" s="1147"/>
      <c r="D5" s="1147"/>
      <c r="E5" s="1147"/>
      <c r="F5" s="1147"/>
      <c r="G5" s="1148"/>
      <c r="H5" s="1147"/>
      <c r="I5" s="1147"/>
      <c r="J5" s="1147"/>
      <c r="K5" s="1147"/>
      <c r="L5" s="1147"/>
      <c r="M5" s="1147"/>
      <c r="N5" s="1149"/>
      <c r="O5" s="1147"/>
      <c r="P5" s="75">
        <f>P6</f>
        <v>85429000</v>
      </c>
      <c r="Q5" s="75">
        <f>Q6</f>
        <v>73750000</v>
      </c>
      <c r="R5" s="925">
        <f>+P5-Q5</f>
        <v>11679000</v>
      </c>
      <c r="S5" s="290">
        <f>+R5/Q5</f>
        <v>0.1583593220338983</v>
      </c>
    </row>
    <row r="6" spans="1:19" s="192" customFormat="1" ht="15" customHeight="1">
      <c r="A6" s="1150"/>
      <c r="B6" s="1151" t="s">
        <v>303</v>
      </c>
      <c r="C6" s="206"/>
      <c r="D6" s="206"/>
      <c r="E6" s="209"/>
      <c r="F6" s="209"/>
      <c r="G6" s="208"/>
      <c r="H6" s="209"/>
      <c r="I6" s="209"/>
      <c r="J6" s="209"/>
      <c r="K6" s="209"/>
      <c r="L6" s="209"/>
      <c r="M6" s="209"/>
      <c r="N6" s="210"/>
      <c r="O6" s="209"/>
      <c r="P6" s="211">
        <f>P7+P12</f>
        <v>85429000</v>
      </c>
      <c r="Q6" s="211">
        <f>Q7+Q12</f>
        <v>73750000</v>
      </c>
      <c r="R6" s="211">
        <f>+P6-Q6</f>
        <v>11679000</v>
      </c>
      <c r="S6" s="212">
        <f>+R6/Q6</f>
        <v>0.1583593220338983</v>
      </c>
    </row>
    <row r="7" spans="1:19" s="192" customFormat="1" ht="15" customHeight="1">
      <c r="A7" s="204"/>
      <c r="B7" s="213"/>
      <c r="C7" s="214" t="s">
        <v>480</v>
      </c>
      <c r="D7" s="214"/>
      <c r="E7" s="217"/>
      <c r="F7" s="217"/>
      <c r="G7" s="216"/>
      <c r="H7" s="217"/>
      <c r="I7" s="217"/>
      <c r="J7" s="217"/>
      <c r="K7" s="217"/>
      <c r="L7" s="217"/>
      <c r="M7" s="217"/>
      <c r="N7" s="219"/>
      <c r="O7" s="217"/>
      <c r="P7" s="220">
        <f>P8</f>
        <v>16000000</v>
      </c>
      <c r="Q7" s="220">
        <f>Q8</f>
        <v>16000000</v>
      </c>
      <c r="R7" s="220">
        <f>+P7-Q7</f>
        <v>0</v>
      </c>
      <c r="S7" s="221">
        <f>+R7/Q7</f>
        <v>0</v>
      </c>
    </row>
    <row r="8" spans="1:19" ht="15" customHeight="1">
      <c r="A8" s="224"/>
      <c r="B8" s="225"/>
      <c r="C8" s="267"/>
      <c r="D8" s="266" t="s">
        <v>1021</v>
      </c>
      <c r="E8" s="217"/>
      <c r="F8" s="217"/>
      <c r="G8" s="216"/>
      <c r="H8" s="217"/>
      <c r="I8" s="217"/>
      <c r="J8" s="217"/>
      <c r="K8" s="217"/>
      <c r="L8" s="217"/>
      <c r="M8" s="217"/>
      <c r="N8" s="219"/>
      <c r="O8" s="217"/>
      <c r="P8" s="220">
        <f>SUM(P9:P11)</f>
        <v>16000000</v>
      </c>
      <c r="Q8" s="220">
        <f>Q9</f>
        <v>16000000</v>
      </c>
      <c r="R8" s="220">
        <f>+P8-Q8</f>
        <v>0</v>
      </c>
      <c r="S8" s="221">
        <f>+R8/Q8</f>
        <v>0</v>
      </c>
    </row>
    <row r="9" spans="1:19" ht="15" customHeight="1">
      <c r="A9" s="224"/>
      <c r="B9" s="225"/>
      <c r="C9" s="225"/>
      <c r="D9" s="267"/>
      <c r="E9" s="66" t="s">
        <v>1022</v>
      </c>
      <c r="F9" s="66"/>
      <c r="G9" s="228"/>
      <c r="H9" s="66"/>
      <c r="I9" s="66"/>
      <c r="J9" s="66"/>
      <c r="K9" s="66"/>
      <c r="L9" s="66"/>
      <c r="M9" s="66"/>
      <c r="N9" s="230"/>
      <c r="O9" s="66"/>
      <c r="P9" s="171">
        <f>O10</f>
        <v>16000000</v>
      </c>
      <c r="Q9" s="171">
        <v>16000000</v>
      </c>
      <c r="R9" s="171">
        <f>+P9-Q9</f>
        <v>0</v>
      </c>
      <c r="S9" s="172">
        <f t="shared" ref="S9" si="0">+R9/Q9</f>
        <v>0</v>
      </c>
    </row>
    <row r="10" spans="1:19" s="320" customFormat="1" ht="15" customHeight="1">
      <c r="A10" s="313"/>
      <c r="B10" s="314"/>
      <c r="C10" s="314"/>
      <c r="D10" s="314"/>
      <c r="E10" s="328"/>
      <c r="F10" s="328" t="s">
        <v>460</v>
      </c>
      <c r="G10" s="327"/>
      <c r="H10" s="328"/>
      <c r="I10" s="328"/>
      <c r="J10" s="328"/>
      <c r="K10" s="328"/>
      <c r="L10" s="328"/>
      <c r="M10" s="328"/>
      <c r="N10" s="330"/>
      <c r="O10" s="331">
        <f>SUM(O11:O11)</f>
        <v>16000000</v>
      </c>
      <c r="P10" s="235"/>
      <c r="Q10" s="235"/>
      <c r="R10" s="235"/>
      <c r="S10" s="1152"/>
    </row>
    <row r="11" spans="1:19" ht="15" customHeight="1">
      <c r="A11" s="224"/>
      <c r="B11" s="225"/>
      <c r="C11" s="225"/>
      <c r="D11" s="278"/>
      <c r="E11" s="998"/>
      <c r="F11" s="998" t="s">
        <v>1023</v>
      </c>
      <c r="G11" s="252">
        <v>1000</v>
      </c>
      <c r="H11" s="240" t="s">
        <v>282</v>
      </c>
      <c r="I11" s="1153">
        <v>64</v>
      </c>
      <c r="J11" s="240" t="s">
        <v>109</v>
      </c>
      <c r="K11" s="1122">
        <v>250</v>
      </c>
      <c r="L11" s="240"/>
      <c r="M11" s="242"/>
      <c r="N11" s="244" t="s">
        <v>1553</v>
      </c>
      <c r="O11" s="245">
        <f>G11*I11*K11</f>
        <v>16000000</v>
      </c>
      <c r="P11" s="235"/>
      <c r="Q11" s="235"/>
      <c r="R11" s="235"/>
      <c r="S11" s="246"/>
    </row>
    <row r="12" spans="1:19" ht="15" customHeight="1">
      <c r="A12" s="224"/>
      <c r="B12" s="225"/>
      <c r="C12" s="214" t="s">
        <v>1554</v>
      </c>
      <c r="D12" s="214"/>
      <c r="E12" s="217"/>
      <c r="F12" s="217"/>
      <c r="G12" s="216"/>
      <c r="H12" s="217"/>
      <c r="I12" s="217"/>
      <c r="J12" s="217"/>
      <c r="K12" s="217"/>
      <c r="L12" s="217"/>
      <c r="M12" s="217"/>
      <c r="N12" s="219"/>
      <c r="O12" s="217"/>
      <c r="P12" s="220">
        <f>P13+P17</f>
        <v>69429000</v>
      </c>
      <c r="Q12" s="220">
        <f>Q13+Q17</f>
        <v>57750000</v>
      </c>
      <c r="R12" s="220">
        <f>+P12-Q12</f>
        <v>11679000</v>
      </c>
      <c r="S12" s="221">
        <f>+R12/Q12</f>
        <v>0.20223376623376624</v>
      </c>
    </row>
    <row r="13" spans="1:19" s="192" customFormat="1" ht="15" customHeight="1">
      <c r="A13" s="204"/>
      <c r="B13" s="222"/>
      <c r="C13" s="223"/>
      <c r="D13" s="266" t="s">
        <v>1555</v>
      </c>
      <c r="E13" s="217"/>
      <c r="F13" s="217"/>
      <c r="G13" s="216"/>
      <c r="H13" s="217"/>
      <c r="I13" s="217"/>
      <c r="J13" s="217"/>
      <c r="K13" s="217"/>
      <c r="L13" s="217"/>
      <c r="M13" s="217"/>
      <c r="N13" s="219"/>
      <c r="O13" s="217"/>
      <c r="P13" s="220">
        <f>SUM(P14:P16)</f>
        <v>14000</v>
      </c>
      <c r="Q13" s="220">
        <f>Q14</f>
        <v>0</v>
      </c>
      <c r="R13" s="220">
        <f>+P13-Q13</f>
        <v>14000</v>
      </c>
      <c r="S13" s="221">
        <v>0</v>
      </c>
    </row>
    <row r="14" spans="1:19" ht="15" customHeight="1">
      <c r="A14" s="224"/>
      <c r="B14" s="225"/>
      <c r="C14" s="226"/>
      <c r="D14" s="267"/>
      <c r="E14" s="255" t="s">
        <v>487</v>
      </c>
      <c r="F14" s="66"/>
      <c r="G14" s="228"/>
      <c r="H14" s="66"/>
      <c r="I14" s="66"/>
      <c r="J14" s="66"/>
      <c r="K14" s="66"/>
      <c r="L14" s="66"/>
      <c r="M14" s="66"/>
      <c r="N14" s="230"/>
      <c r="O14" s="66"/>
      <c r="P14" s="171">
        <f>ROUNDUP(O15,-3)</f>
        <v>14000</v>
      </c>
      <c r="Q14" s="1154">
        <v>0</v>
      </c>
      <c r="R14" s="171">
        <f>+P14-Q14</f>
        <v>14000</v>
      </c>
      <c r="S14" s="172">
        <v>0</v>
      </c>
    </row>
    <row r="15" spans="1:19" ht="15" customHeight="1">
      <c r="A15" s="224"/>
      <c r="B15" s="225"/>
      <c r="C15" s="1029"/>
      <c r="D15" s="225"/>
      <c r="E15" s="240"/>
      <c r="F15" s="240" t="s">
        <v>488</v>
      </c>
      <c r="G15" s="249"/>
      <c r="H15" s="240"/>
      <c r="I15" s="240"/>
      <c r="J15" s="240"/>
      <c r="K15" s="240"/>
      <c r="L15" s="240"/>
      <c r="M15" s="240"/>
      <c r="N15" s="244"/>
      <c r="O15" s="251">
        <f>SUM(O16:O16)</f>
        <v>14000</v>
      </c>
      <c r="P15" s="235"/>
      <c r="Q15" s="235"/>
      <c r="R15" s="235"/>
      <c r="S15" s="246"/>
    </row>
    <row r="16" spans="1:19" ht="15" customHeight="1">
      <c r="A16" s="224"/>
      <c r="B16" s="225"/>
      <c r="C16" s="1029"/>
      <c r="D16" s="278"/>
      <c r="E16" s="998"/>
      <c r="F16" s="998" t="s">
        <v>1556</v>
      </c>
      <c r="G16" s="252">
        <v>14000</v>
      </c>
      <c r="H16" s="240" t="s">
        <v>273</v>
      </c>
      <c r="I16" s="999">
        <v>1</v>
      </c>
      <c r="J16" s="240"/>
      <c r="K16" s="242"/>
      <c r="L16" s="240"/>
      <c r="M16" s="240"/>
      <c r="N16" s="244" t="s">
        <v>274</v>
      </c>
      <c r="O16" s="245">
        <f>G16*I16</f>
        <v>14000</v>
      </c>
      <c r="P16" s="235"/>
      <c r="Q16" s="1155"/>
      <c r="R16" s="235"/>
      <c r="S16" s="246"/>
    </row>
    <row r="17" spans="1:19" s="192" customFormat="1" ht="15" customHeight="1">
      <c r="A17" s="204"/>
      <c r="B17" s="222"/>
      <c r="C17" s="222"/>
      <c r="D17" s="266" t="s">
        <v>1557</v>
      </c>
      <c r="E17" s="217"/>
      <c r="F17" s="217"/>
      <c r="G17" s="216"/>
      <c r="H17" s="217"/>
      <c r="I17" s="217"/>
      <c r="J17" s="217"/>
      <c r="K17" s="217"/>
      <c r="L17" s="217"/>
      <c r="M17" s="217"/>
      <c r="N17" s="219"/>
      <c r="O17" s="217"/>
      <c r="P17" s="220">
        <f>P18</f>
        <v>69415000</v>
      </c>
      <c r="Q17" s="220">
        <f>Q18</f>
        <v>57750000</v>
      </c>
      <c r="R17" s="220">
        <f>+P17-Q17</f>
        <v>11665000</v>
      </c>
      <c r="S17" s="221">
        <f>+R17/Q17</f>
        <v>0.201991341991342</v>
      </c>
    </row>
    <row r="18" spans="1:19" ht="15" customHeight="1">
      <c r="A18" s="224"/>
      <c r="B18" s="225"/>
      <c r="C18" s="225"/>
      <c r="D18" s="267"/>
      <c r="E18" s="255" t="s">
        <v>490</v>
      </c>
      <c r="F18" s="66"/>
      <c r="G18" s="228"/>
      <c r="H18" s="66"/>
      <c r="I18" s="66"/>
      <c r="J18" s="66"/>
      <c r="K18" s="66"/>
      <c r="L18" s="66"/>
      <c r="M18" s="66"/>
      <c r="N18" s="230"/>
      <c r="O18" s="66"/>
      <c r="P18" s="171">
        <f>ROUNDUP(O19,-3)</f>
        <v>69415000</v>
      </c>
      <c r="Q18" s="171">
        <v>57750000</v>
      </c>
      <c r="R18" s="171">
        <f>+P18-Q18</f>
        <v>11665000</v>
      </c>
      <c r="S18" s="172">
        <f t="shared" ref="S18" si="1">+R18/Q18</f>
        <v>0.201991341991342</v>
      </c>
    </row>
    <row r="19" spans="1:19" ht="15" customHeight="1">
      <c r="A19" s="224"/>
      <c r="B19" s="225"/>
      <c r="C19" s="225"/>
      <c r="D19" s="225"/>
      <c r="E19" s="1000"/>
      <c r="F19" s="969" t="s">
        <v>2413</v>
      </c>
      <c r="G19" s="970"/>
      <c r="H19" s="969"/>
      <c r="I19" s="969"/>
      <c r="J19" s="969"/>
      <c r="K19" s="969"/>
      <c r="L19" s="969"/>
      <c r="M19" s="969"/>
      <c r="N19" s="971"/>
      <c r="O19" s="1038">
        <f>SUM(O20:O20)</f>
        <v>69415000</v>
      </c>
      <c r="P19" s="263"/>
      <c r="Q19" s="263"/>
      <c r="R19" s="263"/>
      <c r="S19" s="264"/>
    </row>
    <row r="20" spans="1:19" ht="15" customHeight="1" thickBot="1">
      <c r="A20" s="1005"/>
      <c r="B20" s="426"/>
      <c r="C20" s="426"/>
      <c r="D20" s="426"/>
      <c r="E20" s="1097"/>
      <c r="F20" s="1007" t="s">
        <v>2416</v>
      </c>
      <c r="G20" s="1156">
        <v>69415000</v>
      </c>
      <c r="H20" s="434" t="s">
        <v>273</v>
      </c>
      <c r="I20" s="1157">
        <v>1</v>
      </c>
      <c r="J20" s="1158"/>
      <c r="K20" s="1159"/>
      <c r="L20" s="1158"/>
      <c r="M20" s="1158"/>
      <c r="N20" s="1009" t="s">
        <v>1553</v>
      </c>
      <c r="O20" s="1160">
        <f>G20</f>
        <v>69415000</v>
      </c>
      <c r="P20" s="1014"/>
      <c r="Q20" s="1014"/>
      <c r="R20" s="1014"/>
      <c r="S20" s="1016"/>
    </row>
    <row r="21" spans="1:19" ht="12" customHeight="1"/>
    <row r="22" spans="1:19" ht="12" customHeight="1"/>
    <row r="23" spans="1:19" ht="12" customHeight="1"/>
    <row r="24" spans="1:19" ht="12" customHeight="1"/>
    <row r="25" spans="1:19" ht="12" customHeight="1"/>
    <row r="26" spans="1:19" ht="12" customHeight="1"/>
    <row r="27" spans="1:19" ht="12" customHeight="1"/>
    <row r="28" spans="1:19" ht="12" customHeight="1"/>
    <row r="29" spans="1:19" ht="12" customHeight="1"/>
    <row r="30" spans="1:19" ht="12" customHeight="1">
      <c r="S30" s="1161"/>
    </row>
    <row r="31" spans="1:19" ht="12" customHeight="1"/>
    <row r="32" spans="1:19" ht="12" customHeight="1"/>
    <row r="33" ht="12" customHeight="1"/>
    <row r="34" ht="12" customHeight="1"/>
    <row r="35" ht="12" customHeight="1"/>
    <row r="36" ht="12" customHeight="1"/>
    <row r="37" ht="12" customHeight="1"/>
    <row r="38" ht="12" customHeight="1"/>
    <row r="39" ht="12" customHeight="1"/>
    <row r="40" ht="12" customHeight="1"/>
    <row r="41" ht="12" customHeight="1"/>
    <row r="42" ht="12" customHeight="1"/>
    <row r="43" ht="12" customHeight="1"/>
    <row r="44" ht="12" customHeight="1"/>
    <row r="45" ht="12" customHeight="1"/>
    <row r="46" ht="12" customHeight="1"/>
    <row r="47" ht="12" customHeight="1"/>
    <row r="48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</sheetData>
  <mergeCells count="8">
    <mergeCell ref="A1:S1"/>
    <mergeCell ref="R2:S2"/>
    <mergeCell ref="A3:E3"/>
    <mergeCell ref="G3:O4"/>
    <mergeCell ref="P3:P4"/>
    <mergeCell ref="Q3:Q4"/>
    <mergeCell ref="R3:R4"/>
    <mergeCell ref="S3:S4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scale="85" firstPageNumber="40" orientation="landscape" useFirstPageNumber="1" horizontalDpi="4294967293" r:id="rId1"/>
  <headerFooter scaleWithDoc="0" alignWithMargins="0">
    <oddFooter>&amp;C&amp;P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99FF"/>
    <pageSetUpPr fitToPage="1"/>
  </sheetPr>
  <dimension ref="A1:S77"/>
  <sheetViews>
    <sheetView view="pageBreakPreview" zoomScaleNormal="86" zoomScaleSheetLayoutView="100" workbookViewId="0">
      <pane xSplit="3" ySplit="7" topLeftCell="D8" activePane="bottomRight" state="frozen"/>
      <selection activeCell="V20" sqref="V20"/>
      <selection pane="topRight" activeCell="V20" sqref="V20"/>
      <selection pane="bottomLeft" activeCell="V20" sqref="V20"/>
      <selection pane="bottomRight" activeCell="V20" sqref="V20"/>
    </sheetView>
  </sheetViews>
  <sheetFormatPr defaultColWidth="9" defaultRowHeight="13.5"/>
  <cols>
    <col min="1" max="1" width="3.625" style="196" customWidth="1"/>
    <col min="2" max="4" width="3.625" style="193" customWidth="1"/>
    <col min="5" max="5" width="10.625" style="196" customWidth="1"/>
    <col min="6" max="6" width="20.625" style="196" customWidth="1"/>
    <col min="7" max="7" width="11.5" style="195" bestFit="1" customWidth="1"/>
    <col min="8" max="8" width="2.125" style="196" customWidth="1"/>
    <col min="9" max="9" width="5.375" style="196" customWidth="1"/>
    <col min="10" max="10" width="2.125" style="196" customWidth="1"/>
    <col min="11" max="11" width="4.875" style="196" bestFit="1" customWidth="1"/>
    <col min="12" max="12" width="2.75" style="196" customWidth="1"/>
    <col min="13" max="13" width="4.875" style="196" bestFit="1" customWidth="1"/>
    <col min="14" max="14" width="2.625" style="198" customWidth="1"/>
    <col min="15" max="15" width="12.625" style="196" customWidth="1"/>
    <col min="16" max="16" width="10.625" style="199" customWidth="1"/>
    <col min="17" max="18" width="10.625" style="200" customWidth="1"/>
    <col min="19" max="19" width="10.625" style="289" customWidth="1"/>
    <col min="20" max="16384" width="9" style="196"/>
  </cols>
  <sheetData>
    <row r="1" spans="1:19" s="192" customFormat="1" ht="35.1" customHeight="1">
      <c r="A1" s="1968" t="s">
        <v>1581</v>
      </c>
      <c r="B1" s="1968"/>
      <c r="C1" s="1968"/>
      <c r="D1" s="1968"/>
      <c r="E1" s="1968"/>
      <c r="F1" s="1968"/>
      <c r="G1" s="1968"/>
      <c r="H1" s="1968"/>
      <c r="I1" s="1968"/>
      <c r="J1" s="1968"/>
      <c r="K1" s="1968"/>
      <c r="L1" s="1968"/>
      <c r="M1" s="1968"/>
      <c r="N1" s="1968"/>
      <c r="O1" s="1968"/>
      <c r="P1" s="1968"/>
      <c r="Q1" s="1968"/>
      <c r="R1" s="1968"/>
      <c r="S1" s="1968"/>
    </row>
    <row r="2" spans="1:19" ht="15" customHeight="1" thickBot="1">
      <c r="A2" s="192" t="s">
        <v>930</v>
      </c>
      <c r="R2" s="1969" t="s">
        <v>931</v>
      </c>
      <c r="S2" s="1969"/>
    </row>
    <row r="3" spans="1:19" s="201" customFormat="1" ht="15" customHeight="1">
      <c r="A3" s="1970" t="s">
        <v>294</v>
      </c>
      <c r="B3" s="1971"/>
      <c r="C3" s="1971"/>
      <c r="D3" s="1971"/>
      <c r="E3" s="1971"/>
      <c r="F3" s="1749"/>
      <c r="G3" s="1972" t="s">
        <v>1368</v>
      </c>
      <c r="H3" s="1972"/>
      <c r="I3" s="1972"/>
      <c r="J3" s="1972"/>
      <c r="K3" s="1972"/>
      <c r="L3" s="1972"/>
      <c r="M3" s="1972"/>
      <c r="N3" s="1972"/>
      <c r="O3" s="1973"/>
      <c r="P3" s="1976" t="s">
        <v>296</v>
      </c>
      <c r="Q3" s="1978" t="s">
        <v>94</v>
      </c>
      <c r="R3" s="1980" t="s">
        <v>297</v>
      </c>
      <c r="S3" s="1982" t="s">
        <v>355</v>
      </c>
    </row>
    <row r="4" spans="1:19" s="201" customFormat="1" ht="15" customHeight="1" thickBot="1">
      <c r="A4" s="1750" t="s">
        <v>356</v>
      </c>
      <c r="B4" s="1751" t="s">
        <v>1373</v>
      </c>
      <c r="C4" s="1751" t="s">
        <v>358</v>
      </c>
      <c r="D4" s="1751" t="s">
        <v>359</v>
      </c>
      <c r="E4" s="1751" t="s">
        <v>1376</v>
      </c>
      <c r="F4" s="1752" t="s">
        <v>794</v>
      </c>
      <c r="G4" s="1974"/>
      <c r="H4" s="1974"/>
      <c r="I4" s="1974"/>
      <c r="J4" s="1974"/>
      <c r="K4" s="1974"/>
      <c r="L4" s="1974"/>
      <c r="M4" s="1974"/>
      <c r="N4" s="1974"/>
      <c r="O4" s="1975"/>
      <c r="P4" s="1977"/>
      <c r="Q4" s="1979"/>
      <c r="R4" s="1981"/>
      <c r="S4" s="1983"/>
    </row>
    <row r="5" spans="1:19" s="192" customFormat="1" ht="15" customHeight="1" thickBot="1">
      <c r="A5" s="923" t="s">
        <v>2516</v>
      </c>
      <c r="B5" s="924"/>
      <c r="C5" s="72"/>
      <c r="D5" s="72"/>
      <c r="E5" s="72"/>
      <c r="F5" s="72"/>
      <c r="G5" s="71"/>
      <c r="H5" s="72"/>
      <c r="I5" s="72"/>
      <c r="J5" s="72"/>
      <c r="K5" s="72"/>
      <c r="L5" s="72"/>
      <c r="M5" s="72"/>
      <c r="N5" s="74"/>
      <c r="O5" s="72"/>
      <c r="P5" s="75">
        <f>P6</f>
        <v>69776000</v>
      </c>
      <c r="Q5" s="75">
        <f>Q6</f>
        <v>52500000</v>
      </c>
      <c r="R5" s="925">
        <f>+P5-Q5</f>
        <v>17276000</v>
      </c>
      <c r="S5" s="203">
        <f>+R5/Q5</f>
        <v>0.32906666666666667</v>
      </c>
    </row>
    <row r="6" spans="1:19" s="192" customFormat="1" ht="15" customHeight="1">
      <c r="A6" s="204"/>
      <c r="B6" s="205" t="s">
        <v>1377</v>
      </c>
      <c r="C6" s="206"/>
      <c r="D6" s="206"/>
      <c r="E6" s="209"/>
      <c r="F6" s="209"/>
      <c r="G6" s="208"/>
      <c r="H6" s="209"/>
      <c r="I6" s="209"/>
      <c r="J6" s="209"/>
      <c r="K6" s="209"/>
      <c r="L6" s="209"/>
      <c r="M6" s="209"/>
      <c r="N6" s="210"/>
      <c r="O6" s="209"/>
      <c r="P6" s="211">
        <f>P7+P12</f>
        <v>69776000</v>
      </c>
      <c r="Q6" s="211">
        <f>Q7+Q12</f>
        <v>52500000</v>
      </c>
      <c r="R6" s="211">
        <f>+P6-Q6</f>
        <v>17276000</v>
      </c>
      <c r="S6" s="212">
        <f>+R6/Q6</f>
        <v>0.32906666666666667</v>
      </c>
    </row>
    <row r="7" spans="1:19" s="192" customFormat="1" ht="15" customHeight="1">
      <c r="A7" s="204"/>
      <c r="B7" s="213"/>
      <c r="C7" s="214" t="s">
        <v>1583</v>
      </c>
      <c r="D7" s="214"/>
      <c r="E7" s="217"/>
      <c r="F7" s="217"/>
      <c r="G7" s="216"/>
      <c r="H7" s="217"/>
      <c r="I7" s="217"/>
      <c r="J7" s="217"/>
      <c r="K7" s="217"/>
      <c r="L7" s="217"/>
      <c r="M7" s="217"/>
      <c r="N7" s="219"/>
      <c r="O7" s="217"/>
      <c r="P7" s="220">
        <f>P8</f>
        <v>2400000</v>
      </c>
      <c r="Q7" s="220">
        <f>Q8</f>
        <v>0</v>
      </c>
      <c r="R7" s="220">
        <f>+P7-Q7</f>
        <v>2400000</v>
      </c>
      <c r="S7" s="221">
        <v>1</v>
      </c>
    </row>
    <row r="8" spans="1:19" s="192" customFormat="1" ht="15" customHeight="1">
      <c r="A8" s="204"/>
      <c r="B8" s="222"/>
      <c r="C8" s="267"/>
      <c r="D8" s="266" t="s">
        <v>608</v>
      </c>
      <c r="E8" s="217"/>
      <c r="F8" s="217"/>
      <c r="G8" s="216"/>
      <c r="H8" s="217"/>
      <c r="I8" s="217"/>
      <c r="J8" s="217"/>
      <c r="K8" s="217"/>
      <c r="L8" s="217"/>
      <c r="M8" s="217"/>
      <c r="N8" s="219"/>
      <c r="O8" s="217"/>
      <c r="P8" s="220">
        <f>P9</f>
        <v>2400000</v>
      </c>
      <c r="Q8" s="1776">
        <v>0</v>
      </c>
      <c r="R8" s="220">
        <f>+P8-Q8</f>
        <v>2400000</v>
      </c>
      <c r="S8" s="221">
        <v>1</v>
      </c>
    </row>
    <row r="9" spans="1:19" s="192" customFormat="1" ht="15" customHeight="1">
      <c r="A9" s="204"/>
      <c r="B9" s="222"/>
      <c r="C9" s="225"/>
      <c r="D9" s="267"/>
      <c r="E9" s="66" t="s">
        <v>1584</v>
      </c>
      <c r="F9" s="66"/>
      <c r="G9" s="228"/>
      <c r="H9" s="66"/>
      <c r="I9" s="66"/>
      <c r="J9" s="66"/>
      <c r="K9" s="66"/>
      <c r="L9" s="66"/>
      <c r="M9" s="66"/>
      <c r="N9" s="230"/>
      <c r="O9" s="66"/>
      <c r="P9" s="171">
        <f>ROUNDDOWN(O10,-3)</f>
        <v>2400000</v>
      </c>
      <c r="Q9" s="1777">
        <v>0</v>
      </c>
      <c r="R9" s="171">
        <f>+P9-Q9</f>
        <v>2400000</v>
      </c>
      <c r="S9" s="172">
        <v>1</v>
      </c>
    </row>
    <row r="10" spans="1:19" s="192" customFormat="1" ht="15" customHeight="1">
      <c r="A10" s="204"/>
      <c r="B10" s="222"/>
      <c r="C10" s="314"/>
      <c r="D10" s="314"/>
      <c r="E10" s="328"/>
      <c r="F10" s="1162" t="s">
        <v>1585</v>
      </c>
      <c r="G10" s="1163"/>
      <c r="H10" s="1162"/>
      <c r="I10" s="1162"/>
      <c r="J10" s="1162"/>
      <c r="K10" s="1162"/>
      <c r="L10" s="1162"/>
      <c r="M10" s="1162"/>
      <c r="N10" s="1164"/>
      <c r="O10" s="1165">
        <f>SUM(O11:O11)</f>
        <v>2400000</v>
      </c>
      <c r="P10" s="235"/>
      <c r="Q10" s="235"/>
      <c r="R10" s="235"/>
      <c r="S10" s="1152"/>
    </row>
    <row r="11" spans="1:19" s="192" customFormat="1" ht="15" customHeight="1">
      <c r="A11" s="204"/>
      <c r="B11" s="222"/>
      <c r="C11" s="225"/>
      <c r="D11" s="278"/>
      <c r="E11" s="998"/>
      <c r="F11" s="1166" t="s">
        <v>1023</v>
      </c>
      <c r="G11" s="1167">
        <v>200000</v>
      </c>
      <c r="H11" s="1168" t="s">
        <v>273</v>
      </c>
      <c r="I11" s="1169">
        <v>12</v>
      </c>
      <c r="J11" s="1168"/>
      <c r="K11" s="1170"/>
      <c r="L11" s="1168"/>
      <c r="M11" s="1169"/>
      <c r="N11" s="1171" t="s">
        <v>274</v>
      </c>
      <c r="O11" s="1172">
        <f>G11*I11</f>
        <v>2400000</v>
      </c>
      <c r="P11" s="235"/>
      <c r="Q11" s="235"/>
      <c r="R11" s="235"/>
      <c r="S11" s="246"/>
    </row>
    <row r="12" spans="1:19" s="192" customFormat="1" ht="15" customHeight="1">
      <c r="A12" s="224"/>
      <c r="B12" s="225"/>
      <c r="C12" s="214" t="s">
        <v>485</v>
      </c>
      <c r="D12" s="214"/>
      <c r="E12" s="217"/>
      <c r="F12" s="217"/>
      <c r="G12" s="216"/>
      <c r="H12" s="217"/>
      <c r="I12" s="217"/>
      <c r="J12" s="217"/>
      <c r="K12" s="217"/>
      <c r="L12" s="217"/>
      <c r="M12" s="217"/>
      <c r="N12" s="219"/>
      <c r="O12" s="217"/>
      <c r="P12" s="220">
        <f>P13+P17</f>
        <v>67376000</v>
      </c>
      <c r="Q12" s="220">
        <f>Q13+Q17</f>
        <v>52500000</v>
      </c>
      <c r="R12" s="220">
        <f>+P12-Q12</f>
        <v>14876000</v>
      </c>
      <c r="S12" s="221">
        <f>+R12/Q12</f>
        <v>0.28335238095238097</v>
      </c>
    </row>
    <row r="13" spans="1:19" s="192" customFormat="1" ht="15" customHeight="1">
      <c r="A13" s="204"/>
      <c r="B13" s="222"/>
      <c r="C13" s="223"/>
      <c r="D13" s="266" t="s">
        <v>486</v>
      </c>
      <c r="E13" s="217"/>
      <c r="F13" s="217"/>
      <c r="G13" s="216"/>
      <c r="H13" s="217"/>
      <c r="I13" s="217"/>
      <c r="J13" s="217"/>
      <c r="K13" s="217"/>
      <c r="L13" s="217"/>
      <c r="M13" s="217"/>
      <c r="N13" s="219"/>
      <c r="O13" s="217"/>
      <c r="P13" s="220">
        <f>P14</f>
        <v>6000</v>
      </c>
      <c r="Q13" s="1776">
        <f>Q14</f>
        <v>0</v>
      </c>
      <c r="R13" s="220">
        <f>+P13-Q13</f>
        <v>6000</v>
      </c>
      <c r="S13" s="221">
        <v>1</v>
      </c>
    </row>
    <row r="14" spans="1:19" s="192" customFormat="1" ht="15" customHeight="1">
      <c r="A14" s="224"/>
      <c r="B14" s="225"/>
      <c r="C14" s="226"/>
      <c r="D14" s="267"/>
      <c r="E14" s="255" t="s">
        <v>612</v>
      </c>
      <c r="F14" s="66"/>
      <c r="G14" s="228"/>
      <c r="H14" s="66"/>
      <c r="I14" s="66"/>
      <c r="J14" s="66"/>
      <c r="K14" s="66"/>
      <c r="L14" s="66"/>
      <c r="M14" s="66"/>
      <c r="N14" s="230"/>
      <c r="O14" s="66"/>
      <c r="P14" s="171">
        <f>ROUNDUP(O15,-3)</f>
        <v>6000</v>
      </c>
      <c r="Q14" s="1777">
        <f>Q16</f>
        <v>0</v>
      </c>
      <c r="R14" s="171">
        <f>+P14-Q14</f>
        <v>6000</v>
      </c>
      <c r="S14" s="172">
        <v>1</v>
      </c>
    </row>
    <row r="15" spans="1:19" s="192" customFormat="1" ht="15" customHeight="1">
      <c r="A15" s="224"/>
      <c r="B15" s="225"/>
      <c r="C15" s="1029"/>
      <c r="D15" s="225"/>
      <c r="E15" s="240"/>
      <c r="F15" s="240" t="s">
        <v>488</v>
      </c>
      <c r="G15" s="249"/>
      <c r="H15" s="240"/>
      <c r="I15" s="240"/>
      <c r="J15" s="240"/>
      <c r="K15" s="240"/>
      <c r="L15" s="240"/>
      <c r="M15" s="240"/>
      <c r="N15" s="244"/>
      <c r="O15" s="251">
        <f>SUM(O16:O16)</f>
        <v>6000</v>
      </c>
      <c r="P15" s="235"/>
      <c r="Q15" s="235"/>
      <c r="R15" s="235"/>
      <c r="S15" s="246"/>
    </row>
    <row r="16" spans="1:19" s="192" customFormat="1" ht="15" customHeight="1">
      <c r="A16" s="224"/>
      <c r="B16" s="225"/>
      <c r="C16" s="1029"/>
      <c r="D16" s="278"/>
      <c r="E16" s="998"/>
      <c r="F16" s="998" t="s">
        <v>489</v>
      </c>
      <c r="G16" s="252">
        <v>6000</v>
      </c>
      <c r="H16" s="240" t="s">
        <v>273</v>
      </c>
      <c r="I16" s="999">
        <v>1</v>
      </c>
      <c r="J16" s="240"/>
      <c r="K16" s="242"/>
      <c r="L16" s="240"/>
      <c r="M16" s="240"/>
      <c r="N16" s="244" t="s">
        <v>274</v>
      </c>
      <c r="O16" s="245">
        <f>G16*I16</f>
        <v>6000</v>
      </c>
      <c r="P16" s="235"/>
      <c r="Q16" s="235"/>
      <c r="R16" s="235"/>
      <c r="S16" s="246"/>
    </row>
    <row r="17" spans="1:19" s="192" customFormat="1" ht="15" customHeight="1">
      <c r="A17" s="204"/>
      <c r="B17" s="222"/>
      <c r="C17" s="223"/>
      <c r="D17" s="266" t="s">
        <v>1586</v>
      </c>
      <c r="E17" s="217"/>
      <c r="F17" s="217"/>
      <c r="G17" s="216"/>
      <c r="H17" s="217"/>
      <c r="I17" s="217"/>
      <c r="J17" s="217"/>
      <c r="K17" s="217"/>
      <c r="L17" s="217"/>
      <c r="M17" s="217"/>
      <c r="N17" s="219"/>
      <c r="O17" s="217"/>
      <c r="P17" s="220">
        <f>SUM(P18:P20)</f>
        <v>67370000</v>
      </c>
      <c r="Q17" s="220">
        <f>Q18</f>
        <v>52500000</v>
      </c>
      <c r="R17" s="220">
        <f>+P17-Q17</f>
        <v>14870000</v>
      </c>
      <c r="S17" s="221">
        <f>+R17/Q17</f>
        <v>0.28323809523809523</v>
      </c>
    </row>
    <row r="18" spans="1:19" ht="15" customHeight="1">
      <c r="A18" s="224"/>
      <c r="B18" s="225"/>
      <c r="C18" s="226"/>
      <c r="D18" s="267"/>
      <c r="E18" s="255" t="s">
        <v>1025</v>
      </c>
      <c r="F18" s="66"/>
      <c r="G18" s="228"/>
      <c r="H18" s="66"/>
      <c r="I18" s="66"/>
      <c r="J18" s="66"/>
      <c r="K18" s="66"/>
      <c r="L18" s="66"/>
      <c r="M18" s="66"/>
      <c r="N18" s="230"/>
      <c r="O18" s="66"/>
      <c r="P18" s="171">
        <f>ROUNDDOWN(O19,-3)</f>
        <v>67370000</v>
      </c>
      <c r="Q18" s="171">
        <v>52500000</v>
      </c>
      <c r="R18" s="171">
        <f>+P18-Q18</f>
        <v>14870000</v>
      </c>
      <c r="S18" s="172">
        <f t="shared" ref="S18" si="0">+R18/Q18</f>
        <v>0.28323809523809523</v>
      </c>
    </row>
    <row r="19" spans="1:19" ht="15" customHeight="1">
      <c r="A19" s="224"/>
      <c r="B19" s="225"/>
      <c r="C19" s="226"/>
      <c r="D19" s="225"/>
      <c r="E19" s="1000"/>
      <c r="F19" s="969" t="s">
        <v>2413</v>
      </c>
      <c r="G19" s="970"/>
      <c r="H19" s="969"/>
      <c r="I19" s="969"/>
      <c r="J19" s="969"/>
      <c r="K19" s="969"/>
      <c r="L19" s="969"/>
      <c r="M19" s="969"/>
      <c r="N19" s="971"/>
      <c r="O19" s="1038">
        <f>SUM(O20:O20)</f>
        <v>67370000</v>
      </c>
      <c r="P19" s="263"/>
      <c r="Q19" s="1004"/>
      <c r="R19" s="263"/>
      <c r="S19" s="264"/>
    </row>
    <row r="20" spans="1:19" ht="15" customHeight="1" thickBot="1">
      <c r="A20" s="1005"/>
      <c r="B20" s="426"/>
      <c r="C20" s="1006"/>
      <c r="D20" s="426"/>
      <c r="E20" s="1097"/>
      <c r="F20" s="1007" t="s">
        <v>2417</v>
      </c>
      <c r="G20" s="1156">
        <v>67370000</v>
      </c>
      <c r="H20" s="1158" t="s">
        <v>273</v>
      </c>
      <c r="I20" s="1010" t="s">
        <v>1647</v>
      </c>
      <c r="J20" s="1158"/>
      <c r="K20" s="1159"/>
      <c r="L20" s="1158"/>
      <c r="M20" s="1158"/>
      <c r="N20" s="1009" t="s">
        <v>274</v>
      </c>
      <c r="O20" s="1160">
        <f>G20</f>
        <v>67370000</v>
      </c>
      <c r="P20" s="1014"/>
      <c r="Q20" s="1015"/>
      <c r="R20" s="1014"/>
      <c r="S20" s="1016"/>
    </row>
    <row r="21" spans="1:19" ht="12" customHeight="1"/>
    <row r="22" spans="1:19" ht="12" customHeight="1"/>
    <row r="23" spans="1:19" ht="23.25" customHeight="1"/>
    <row r="24" spans="1:19" ht="13.5" customHeight="1"/>
    <row r="25" spans="1:19" ht="12" customHeight="1"/>
    <row r="26" spans="1:19" ht="12" customHeight="1"/>
    <row r="27" spans="1:19" ht="12" customHeight="1"/>
    <row r="28" spans="1:19" ht="12" customHeight="1"/>
    <row r="29" spans="1:19" ht="12" customHeight="1"/>
    <row r="30" spans="1:19" ht="12" customHeight="1"/>
    <row r="31" spans="1:19" ht="12" customHeight="1"/>
    <row r="32" spans="1:19" ht="12" customHeight="1"/>
    <row r="33" ht="12" customHeight="1"/>
    <row r="34" ht="12" customHeight="1"/>
    <row r="35" ht="12" customHeight="1"/>
    <row r="36" ht="12" customHeight="1"/>
    <row r="37" ht="12" customHeight="1"/>
    <row r="38" ht="12" customHeight="1"/>
    <row r="39" ht="12" customHeight="1"/>
    <row r="40" ht="12" customHeight="1"/>
    <row r="41" ht="12" customHeight="1"/>
    <row r="42" ht="12" customHeight="1"/>
    <row r="43" ht="12" customHeight="1"/>
    <row r="44" ht="12" customHeight="1"/>
    <row r="45" ht="12" customHeight="1"/>
    <row r="46" ht="12" customHeight="1"/>
    <row r="47" ht="12" customHeight="1"/>
    <row r="48" ht="12" customHeight="1"/>
    <row r="49" spans="9:9" ht="12" customHeight="1"/>
    <row r="50" spans="9:9" ht="12" customHeight="1">
      <c r="I50" s="196">
        <v>0</v>
      </c>
    </row>
    <row r="51" spans="9:9" ht="12" customHeight="1"/>
    <row r="52" spans="9:9" ht="12" customHeight="1"/>
    <row r="53" spans="9:9" ht="12" customHeight="1"/>
    <row r="54" spans="9:9" ht="12" customHeight="1">
      <c r="I54" s="196">
        <v>300000</v>
      </c>
    </row>
    <row r="55" spans="9:9" ht="12" customHeight="1"/>
    <row r="56" spans="9:9" ht="12" customHeight="1"/>
    <row r="57" spans="9:9" ht="12" customHeight="1"/>
    <row r="58" spans="9:9" ht="12" customHeight="1"/>
    <row r="59" spans="9:9" ht="12" customHeight="1"/>
    <row r="60" spans="9:9" ht="12" customHeight="1"/>
    <row r="61" spans="9:9" ht="12" customHeight="1"/>
    <row r="62" spans="9:9" ht="12" customHeight="1"/>
    <row r="63" spans="9:9" ht="12" customHeight="1"/>
    <row r="64" spans="9:9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</sheetData>
  <mergeCells count="8">
    <mergeCell ref="A1:S1"/>
    <mergeCell ref="R2:S2"/>
    <mergeCell ref="A3:E3"/>
    <mergeCell ref="G3:O4"/>
    <mergeCell ref="P3:P4"/>
    <mergeCell ref="Q3:Q4"/>
    <mergeCell ref="R3:R4"/>
    <mergeCell ref="S3:S4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scale="86" firstPageNumber="41" fitToHeight="0" orientation="landscape" useFirstPageNumber="1" horizontalDpi="4294967293" r:id="rId1"/>
  <headerFooter scaleWithDoc="0" alignWithMargins="0">
    <oddFooter>&amp;C&amp;P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1:K12"/>
  <sheetViews>
    <sheetView view="pageBreakPreview" zoomScaleNormal="100" zoomScaleSheetLayoutView="100" workbookViewId="0">
      <selection activeCell="V20" sqref="V20"/>
    </sheetView>
  </sheetViews>
  <sheetFormatPr defaultRowHeight="16.5"/>
  <sheetData>
    <row r="11" spans="1:11" ht="61.5" customHeight="1">
      <c r="A11" s="1879"/>
      <c r="B11" s="1879"/>
      <c r="C11" s="1879"/>
      <c r="D11" s="1879"/>
      <c r="E11" s="1879"/>
      <c r="F11" s="1879"/>
      <c r="G11" s="1879"/>
      <c r="H11" s="1879"/>
      <c r="I11" s="1879"/>
      <c r="J11" s="1879"/>
      <c r="K11" s="1879"/>
    </row>
    <row r="12" spans="1:11" ht="16.5" customHeight="1"/>
  </sheetData>
  <mergeCells count="1">
    <mergeCell ref="A11:K11"/>
  </mergeCells>
  <phoneticPr fontId="2" type="noConversion"/>
  <printOptions horizontalCentered="1"/>
  <pageMargins left="0.78740157480314965" right="0.78740157480314965" top="0.78740157480314965" bottom="0.78740157480314965" header="0.78740157480314965" footer="0.78740157480314965"/>
  <pageSetup paperSize="9" firstPageNumber="42" orientation="landscape" useFirstPageNumber="1" r:id="rId1"/>
  <headerFooter scaleWithDoc="0">
    <oddFooter>&amp;C&amp;P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3399FF"/>
    <pageSetUpPr fitToPage="1"/>
  </sheetPr>
  <dimension ref="A1:Y255"/>
  <sheetViews>
    <sheetView view="pageBreakPreview" zoomScale="85" zoomScaleNormal="85" zoomScaleSheetLayoutView="85" workbookViewId="0">
      <pane ySplit="8" topLeftCell="A75" activePane="bottomLeft" state="frozen"/>
      <selection activeCell="V20" sqref="V20"/>
      <selection pane="bottomLeft" activeCell="V20" sqref="V20"/>
    </sheetView>
  </sheetViews>
  <sheetFormatPr defaultColWidth="9" defaultRowHeight="13.5"/>
  <cols>
    <col min="1" max="1" width="3.625" style="826" customWidth="1"/>
    <col min="2" max="4" width="3.625" style="825" customWidth="1"/>
    <col min="5" max="5" width="10.625" style="825" customWidth="1"/>
    <col min="6" max="6" width="31.375" style="1173" customWidth="1"/>
    <col min="7" max="7" width="12.625" style="827" bestFit="1" customWidth="1"/>
    <col min="8" max="8" width="2.125" style="826" customWidth="1"/>
    <col min="9" max="9" width="7.75" style="826" bestFit="1" customWidth="1"/>
    <col min="10" max="10" width="2.125" style="826" customWidth="1"/>
    <col min="11" max="11" width="5.875" style="826" customWidth="1"/>
    <col min="12" max="12" width="2.625" style="1174" customWidth="1"/>
    <col min="13" max="13" width="5.375" style="826" customWidth="1"/>
    <col min="14" max="14" width="2.75" style="828" customWidth="1"/>
    <col min="15" max="15" width="2.625" style="828" customWidth="1"/>
    <col min="16" max="16" width="13.625" style="826" customWidth="1"/>
    <col min="17" max="17" width="10.625" style="829" customWidth="1"/>
    <col min="18" max="19" width="10.625" style="830" customWidth="1"/>
    <col min="20" max="20" width="10.625" style="912" customWidth="1"/>
    <col min="21" max="21" width="10.25" style="826" bestFit="1" customWidth="1"/>
    <col min="22" max="22" width="12.125" style="826" bestFit="1" customWidth="1"/>
    <col min="23" max="23" width="11.25" style="826" customWidth="1"/>
    <col min="24" max="16384" width="9" style="826"/>
  </cols>
  <sheetData>
    <row r="1" spans="1:25" s="824" customFormat="1" ht="35.1" customHeight="1">
      <c r="A1" s="1935" t="s">
        <v>122</v>
      </c>
      <c r="B1" s="1935"/>
      <c r="C1" s="1935"/>
      <c r="D1" s="1935"/>
      <c r="E1" s="1935"/>
      <c r="F1" s="1935"/>
      <c r="G1" s="1935"/>
      <c r="H1" s="1935"/>
      <c r="I1" s="1935"/>
      <c r="J1" s="1935"/>
      <c r="K1" s="1935"/>
      <c r="L1" s="1935"/>
      <c r="M1" s="1935"/>
      <c r="N1" s="1935"/>
      <c r="O1" s="1935"/>
      <c r="P1" s="1935"/>
      <c r="Q1" s="1935"/>
      <c r="R1" s="1935"/>
      <c r="S1" s="1935"/>
      <c r="T1" s="1935"/>
    </row>
    <row r="2" spans="1:25" ht="15" customHeight="1" thickBot="1">
      <c r="A2" s="824" t="s">
        <v>89</v>
      </c>
      <c r="S2" s="1989" t="s">
        <v>90</v>
      </c>
      <c r="T2" s="1989"/>
    </row>
    <row r="3" spans="1:25" s="831" customFormat="1" ht="14.45" customHeight="1">
      <c r="A3" s="1990" t="s">
        <v>91</v>
      </c>
      <c r="B3" s="1939"/>
      <c r="C3" s="1939"/>
      <c r="D3" s="1939"/>
      <c r="E3" s="1939"/>
      <c r="F3" s="1753"/>
      <c r="G3" s="1940" t="s">
        <v>92</v>
      </c>
      <c r="H3" s="1940"/>
      <c r="I3" s="1940"/>
      <c r="J3" s="1940"/>
      <c r="K3" s="1940"/>
      <c r="L3" s="1940"/>
      <c r="M3" s="1940"/>
      <c r="N3" s="1940"/>
      <c r="O3" s="1940"/>
      <c r="P3" s="1941"/>
      <c r="Q3" s="1944" t="s">
        <v>93</v>
      </c>
      <c r="R3" s="1946" t="s">
        <v>94</v>
      </c>
      <c r="S3" s="1948" t="s">
        <v>95</v>
      </c>
      <c r="T3" s="1950" t="s">
        <v>96</v>
      </c>
    </row>
    <row r="4" spans="1:25" s="831" customFormat="1" ht="14.45" customHeight="1" thickBot="1">
      <c r="A4" s="1742" t="s">
        <v>97</v>
      </c>
      <c r="B4" s="1743" t="s">
        <v>98</v>
      </c>
      <c r="C4" s="1743" t="s">
        <v>99</v>
      </c>
      <c r="D4" s="1743" t="s">
        <v>100</v>
      </c>
      <c r="E4" s="1743" t="s">
        <v>101</v>
      </c>
      <c r="F4" s="1754" t="s">
        <v>102</v>
      </c>
      <c r="G4" s="1942"/>
      <c r="H4" s="1942"/>
      <c r="I4" s="1942"/>
      <c r="J4" s="1942"/>
      <c r="K4" s="1942"/>
      <c r="L4" s="1942"/>
      <c r="M4" s="1942"/>
      <c r="N4" s="1942"/>
      <c r="O4" s="1942"/>
      <c r="P4" s="1943"/>
      <c r="Q4" s="1945"/>
      <c r="R4" s="1947"/>
      <c r="S4" s="1949"/>
      <c r="T4" s="1951"/>
    </row>
    <row r="5" spans="1:25" s="824" customFormat="1" ht="14.45" customHeight="1" thickBot="1">
      <c r="A5" s="1175" t="s">
        <v>545</v>
      </c>
      <c r="B5" s="1176"/>
      <c r="C5" s="1176"/>
      <c r="D5" s="1176"/>
      <c r="E5" s="1176"/>
      <c r="F5" s="1177"/>
      <c r="G5" s="835"/>
      <c r="H5" s="834"/>
      <c r="I5" s="834"/>
      <c r="J5" s="834"/>
      <c r="K5" s="834"/>
      <c r="L5" s="1178"/>
      <c r="M5" s="834"/>
      <c r="N5" s="836"/>
      <c r="O5" s="836"/>
      <c r="P5" s="834"/>
      <c r="Q5" s="837">
        <f>Q6+Q246</f>
        <v>1900720000</v>
      </c>
      <c r="R5" s="837">
        <f>R6+R246</f>
        <v>1687053000</v>
      </c>
      <c r="S5" s="837">
        <f>Q5-R5</f>
        <v>213667000</v>
      </c>
      <c r="T5" s="838">
        <f>S5/R5</f>
        <v>0.12665102993207683</v>
      </c>
      <c r="W5" s="824">
        <v>1900720000</v>
      </c>
      <c r="Y5" s="874">
        <f>Q5-W5</f>
        <v>0</v>
      </c>
    </row>
    <row r="6" spans="1:25" s="824" customFormat="1" ht="14.45" customHeight="1">
      <c r="A6" s="840"/>
      <c r="B6" s="841" t="s">
        <v>64</v>
      </c>
      <c r="C6" s="842"/>
      <c r="D6" s="842"/>
      <c r="E6" s="842"/>
      <c r="F6" s="1179"/>
      <c r="G6" s="844"/>
      <c r="H6" s="843"/>
      <c r="I6" s="843"/>
      <c r="J6" s="843"/>
      <c r="K6" s="843"/>
      <c r="L6" s="1180"/>
      <c r="M6" s="843"/>
      <c r="N6" s="845"/>
      <c r="O6" s="845"/>
      <c r="P6" s="843"/>
      <c r="Q6" s="846">
        <f>Q7+Q184+Q236+Q241</f>
        <v>1900720000</v>
      </c>
      <c r="R6" s="846">
        <f>R7+R184+R241</f>
        <v>1687053000</v>
      </c>
      <c r="S6" s="846">
        <f>Q6-R6</f>
        <v>213667000</v>
      </c>
      <c r="T6" s="847">
        <f>S6/R6</f>
        <v>0.12665102993207683</v>
      </c>
    </row>
    <row r="7" spans="1:25" s="824" customFormat="1" ht="14.45" customHeight="1">
      <c r="A7" s="840"/>
      <c r="B7" s="1181"/>
      <c r="C7" s="849" t="s">
        <v>123</v>
      </c>
      <c r="D7" s="849"/>
      <c r="E7" s="849"/>
      <c r="F7" s="1182"/>
      <c r="G7" s="852"/>
      <c r="H7" s="851"/>
      <c r="I7" s="851"/>
      <c r="J7" s="851"/>
      <c r="K7" s="851"/>
      <c r="L7" s="1183"/>
      <c r="M7" s="851"/>
      <c r="N7" s="853"/>
      <c r="O7" s="853"/>
      <c r="P7" s="851"/>
      <c r="Q7" s="854">
        <f>Q8+Q51+Q175+Q179</f>
        <v>889020000</v>
      </c>
      <c r="R7" s="854">
        <f>R8+R51+R175+R179</f>
        <v>730880000</v>
      </c>
      <c r="S7" s="854">
        <f>Q7-R7</f>
        <v>158140000</v>
      </c>
      <c r="T7" s="855">
        <f>S7/R7</f>
        <v>0.21636930823117337</v>
      </c>
    </row>
    <row r="8" spans="1:25" s="824" customFormat="1" ht="14.45" customHeight="1">
      <c r="A8" s="840"/>
      <c r="B8" s="848"/>
      <c r="C8" s="856"/>
      <c r="D8" s="1184" t="s">
        <v>124</v>
      </c>
      <c r="E8" s="1185"/>
      <c r="F8" s="1186"/>
      <c r="G8" s="1187"/>
      <c r="H8" s="1185"/>
      <c r="I8" s="1185"/>
      <c r="J8" s="1185"/>
      <c r="K8" s="1185"/>
      <c r="L8" s="1184"/>
      <c r="M8" s="1185"/>
      <c r="N8" s="1188"/>
      <c r="O8" s="1188"/>
      <c r="P8" s="1185"/>
      <c r="Q8" s="1189">
        <f>SUM(Q9:Q50)</f>
        <v>545114000</v>
      </c>
      <c r="R8" s="1189">
        <f>SUM(R9:R50)</f>
        <v>456347000</v>
      </c>
      <c r="S8" s="1189">
        <f>Q8-R8</f>
        <v>88767000</v>
      </c>
      <c r="T8" s="1190">
        <f>S8/R8</f>
        <v>0.1945164534882447</v>
      </c>
    </row>
    <row r="9" spans="1:25" ht="14.45" customHeight="1">
      <c r="A9" s="857"/>
      <c r="B9" s="858"/>
      <c r="C9" s="859"/>
      <c r="D9" s="858"/>
      <c r="E9" s="861" t="s">
        <v>125</v>
      </c>
      <c r="F9" s="1191"/>
      <c r="G9" s="862"/>
      <c r="H9" s="861"/>
      <c r="I9" s="861"/>
      <c r="J9" s="861"/>
      <c r="K9" s="861"/>
      <c r="L9" s="1192"/>
      <c r="M9" s="861"/>
      <c r="N9" s="863"/>
      <c r="O9" s="863"/>
      <c r="P9" s="861"/>
      <c r="Q9" s="374">
        <f>SUM(P10)</f>
        <v>335175000</v>
      </c>
      <c r="R9" s="374">
        <f>293583000</f>
        <v>293583000</v>
      </c>
      <c r="S9" s="374">
        <f>Q9-R9</f>
        <v>41592000</v>
      </c>
      <c r="T9" s="864">
        <f>S9/R9</f>
        <v>0.14167032832282522</v>
      </c>
    </row>
    <row r="10" spans="1:25" ht="14.45" customHeight="1">
      <c r="A10" s="857"/>
      <c r="B10" s="858"/>
      <c r="C10" s="859"/>
      <c r="D10" s="858"/>
      <c r="E10" s="859"/>
      <c r="F10" s="1193" t="s">
        <v>126</v>
      </c>
      <c r="G10" s="1194"/>
      <c r="H10" s="859"/>
      <c r="I10" s="859"/>
      <c r="J10" s="859"/>
      <c r="K10" s="859"/>
      <c r="L10" s="1195"/>
      <c r="M10" s="859"/>
      <c r="N10" s="1196"/>
      <c r="O10" s="1196"/>
      <c r="P10" s="1197">
        <f>SUM(P11:P14)</f>
        <v>335175000</v>
      </c>
      <c r="Q10" s="1198"/>
      <c r="R10" s="1198"/>
      <c r="S10" s="1198"/>
      <c r="T10" s="1199"/>
    </row>
    <row r="11" spans="1:25" ht="14.45" customHeight="1">
      <c r="A11" s="857"/>
      <c r="B11" s="858"/>
      <c r="C11" s="859"/>
      <c r="D11" s="858"/>
      <c r="E11" s="1200"/>
      <c r="F11" s="1201" t="s">
        <v>127</v>
      </c>
      <c r="G11" s="1202">
        <v>5292700</v>
      </c>
      <c r="H11" s="339" t="s">
        <v>109</v>
      </c>
      <c r="I11" s="1203">
        <v>1</v>
      </c>
      <c r="J11" s="339" t="s">
        <v>109</v>
      </c>
      <c r="K11" s="1204">
        <v>12</v>
      </c>
      <c r="L11" s="1205"/>
      <c r="M11" s="1204"/>
      <c r="N11" s="866"/>
      <c r="O11" s="866" t="s">
        <v>110</v>
      </c>
      <c r="P11" s="873">
        <f>ROUNDUP(G11*I11*K11,-3)</f>
        <v>63513000</v>
      </c>
      <c r="Q11" s="388"/>
      <c r="R11" s="868"/>
      <c r="S11" s="388"/>
      <c r="T11" s="1206"/>
    </row>
    <row r="12" spans="1:25" ht="14.45" customHeight="1">
      <c r="A12" s="857"/>
      <c r="B12" s="858"/>
      <c r="C12" s="859"/>
      <c r="D12" s="858"/>
      <c r="E12" s="1207"/>
      <c r="F12" s="1208" t="s">
        <v>128</v>
      </c>
      <c r="G12" s="1202">
        <v>3594000</v>
      </c>
      <c r="H12" s="339" t="s">
        <v>109</v>
      </c>
      <c r="I12" s="1203">
        <v>1</v>
      </c>
      <c r="J12" s="339" t="s">
        <v>109</v>
      </c>
      <c r="K12" s="1204">
        <v>12</v>
      </c>
      <c r="L12" s="1205"/>
      <c r="M12" s="1204"/>
      <c r="N12" s="866"/>
      <c r="O12" s="866" t="s">
        <v>110</v>
      </c>
      <c r="P12" s="873">
        <f>ROUNDUP(G12*I12*K12,-3)</f>
        <v>43128000</v>
      </c>
      <c r="Q12" s="388"/>
      <c r="R12" s="868"/>
      <c r="S12" s="388"/>
      <c r="T12" s="1206"/>
    </row>
    <row r="13" spans="1:25" ht="14.45" customHeight="1">
      <c r="A13" s="857"/>
      <c r="B13" s="858"/>
      <c r="C13" s="859"/>
      <c r="D13" s="858"/>
      <c r="E13" s="1207"/>
      <c r="F13" s="1208" t="s">
        <v>546</v>
      </c>
      <c r="G13" s="1202">
        <v>2961500</v>
      </c>
      <c r="H13" s="339" t="s">
        <v>109</v>
      </c>
      <c r="I13" s="1203">
        <v>2</v>
      </c>
      <c r="J13" s="339" t="s">
        <v>109</v>
      </c>
      <c r="K13" s="1204">
        <v>12</v>
      </c>
      <c r="L13" s="1205"/>
      <c r="M13" s="1204"/>
      <c r="N13" s="866"/>
      <c r="O13" s="866" t="s">
        <v>110</v>
      </c>
      <c r="P13" s="873">
        <f>ROUNDUP(G13*I13*K13,-3)</f>
        <v>71076000</v>
      </c>
      <c r="Q13" s="388"/>
      <c r="R13" s="868"/>
      <c r="S13" s="388"/>
      <c r="T13" s="1206"/>
    </row>
    <row r="14" spans="1:25" ht="14.45" customHeight="1">
      <c r="A14" s="857"/>
      <c r="B14" s="858"/>
      <c r="C14" s="859"/>
      <c r="D14" s="858"/>
      <c r="E14" s="1207"/>
      <c r="F14" s="1208" t="s">
        <v>547</v>
      </c>
      <c r="G14" s="1202">
        <v>1874500</v>
      </c>
      <c r="H14" s="339" t="s">
        <v>109</v>
      </c>
      <c r="I14" s="1203">
        <v>7</v>
      </c>
      <c r="J14" s="339" t="s">
        <v>109</v>
      </c>
      <c r="K14" s="1204">
        <v>12</v>
      </c>
      <c r="L14" s="1205"/>
      <c r="M14" s="1204"/>
      <c r="N14" s="866"/>
      <c r="O14" s="866" t="s">
        <v>110</v>
      </c>
      <c r="P14" s="873">
        <f>ROUNDUP(G14*I14*K14,-3)</f>
        <v>157458000</v>
      </c>
      <c r="Q14" s="388"/>
      <c r="R14" s="868"/>
      <c r="S14" s="388"/>
      <c r="T14" s="1206"/>
      <c r="V14" s="879"/>
    </row>
    <row r="15" spans="1:25" ht="14.45" customHeight="1">
      <c r="A15" s="857"/>
      <c r="B15" s="858"/>
      <c r="C15" s="859"/>
      <c r="D15" s="858"/>
      <c r="E15" s="861" t="s">
        <v>2353</v>
      </c>
      <c r="F15" s="1191"/>
      <c r="G15" s="862"/>
      <c r="H15" s="861"/>
      <c r="I15" s="861"/>
      <c r="J15" s="861"/>
      <c r="K15" s="861"/>
      <c r="L15" s="1192"/>
      <c r="M15" s="861"/>
      <c r="N15" s="863"/>
      <c r="O15" s="863"/>
      <c r="P15" s="861"/>
      <c r="Q15" s="374">
        <f>P16+P21+P25+P27+P30+P32+P40+P43+P35</f>
        <v>164654000</v>
      </c>
      <c r="R15" s="374">
        <v>117155000</v>
      </c>
      <c r="S15" s="374">
        <f>Q15-R15</f>
        <v>47499000</v>
      </c>
      <c r="T15" s="864">
        <f>S15/R15</f>
        <v>0.40543724126157654</v>
      </c>
    </row>
    <row r="16" spans="1:25" ht="14.45" customHeight="1">
      <c r="A16" s="857"/>
      <c r="B16" s="858"/>
      <c r="C16" s="859"/>
      <c r="D16" s="858"/>
      <c r="E16" s="859"/>
      <c r="F16" s="1193" t="s">
        <v>548</v>
      </c>
      <c r="G16" s="1209"/>
      <c r="H16" s="1210"/>
      <c r="I16" s="1210"/>
      <c r="J16" s="1210"/>
      <c r="K16" s="1210"/>
      <c r="L16" s="1211"/>
      <c r="M16" s="1210"/>
      <c r="N16" s="1212"/>
      <c r="O16" s="1212"/>
      <c r="P16" s="1213">
        <f>SUM(P17:P20)</f>
        <v>21660000</v>
      </c>
      <c r="Q16" s="1214"/>
      <c r="R16" s="1214"/>
      <c r="S16" s="1214"/>
      <c r="T16" s="1215"/>
    </row>
    <row r="17" spans="1:22" ht="14.45" customHeight="1">
      <c r="A17" s="857"/>
      <c r="B17" s="858"/>
      <c r="C17" s="859"/>
      <c r="D17" s="858"/>
      <c r="E17" s="1200"/>
      <c r="F17" s="1201" t="s">
        <v>127</v>
      </c>
      <c r="G17" s="1202">
        <v>400000</v>
      </c>
      <c r="H17" s="339" t="s">
        <v>109</v>
      </c>
      <c r="I17" s="1203">
        <v>1</v>
      </c>
      <c r="J17" s="339" t="s">
        <v>109</v>
      </c>
      <c r="K17" s="1204">
        <v>12</v>
      </c>
      <c r="L17" s="339"/>
      <c r="M17" s="339"/>
      <c r="N17" s="339"/>
      <c r="O17" s="866" t="s">
        <v>110</v>
      </c>
      <c r="P17" s="873">
        <f>ROUNDUP(G17*I17*K17,-3)</f>
        <v>4800000</v>
      </c>
      <c r="Q17" s="388"/>
      <c r="R17" s="868"/>
      <c r="S17" s="388"/>
      <c r="T17" s="1206"/>
    </row>
    <row r="18" spans="1:22" ht="14.45" customHeight="1">
      <c r="A18" s="857"/>
      <c r="B18" s="858"/>
      <c r="C18" s="859"/>
      <c r="D18" s="858"/>
      <c r="E18" s="1200"/>
      <c r="F18" s="1208" t="s">
        <v>128</v>
      </c>
      <c r="G18" s="1202">
        <v>250000</v>
      </c>
      <c r="H18" s="339" t="s">
        <v>109</v>
      </c>
      <c r="I18" s="1203">
        <v>1</v>
      </c>
      <c r="J18" s="339" t="s">
        <v>109</v>
      </c>
      <c r="K18" s="1204">
        <v>12</v>
      </c>
      <c r="L18" s="1205"/>
      <c r="M18" s="1204"/>
      <c r="N18" s="866"/>
      <c r="O18" s="866" t="s">
        <v>110</v>
      </c>
      <c r="P18" s="873">
        <f>ROUNDUP(G18*I18*K18,-3)</f>
        <v>3000000</v>
      </c>
      <c r="Q18" s="388"/>
      <c r="R18" s="868"/>
      <c r="S18" s="388"/>
      <c r="T18" s="1206"/>
      <c r="V18" s="879"/>
    </row>
    <row r="19" spans="1:22" ht="14.45" customHeight="1">
      <c r="A19" s="857"/>
      <c r="B19" s="858"/>
      <c r="C19" s="859"/>
      <c r="D19" s="858"/>
      <c r="E19" s="1207"/>
      <c r="F19" s="1208" t="s">
        <v>129</v>
      </c>
      <c r="G19" s="1202">
        <v>140000</v>
      </c>
      <c r="H19" s="339" t="s">
        <v>109</v>
      </c>
      <c r="I19" s="1203">
        <v>2</v>
      </c>
      <c r="J19" s="339" t="s">
        <v>109</v>
      </c>
      <c r="K19" s="1204">
        <v>12</v>
      </c>
      <c r="L19" s="1205"/>
      <c r="M19" s="1204"/>
      <c r="N19" s="866"/>
      <c r="O19" s="866" t="s">
        <v>110</v>
      </c>
      <c r="P19" s="873">
        <f>ROUNDUP(G19*I19*K19,-3)</f>
        <v>3360000</v>
      </c>
      <c r="Q19" s="388"/>
      <c r="R19" s="868"/>
      <c r="S19" s="388"/>
      <c r="T19" s="1206"/>
    </row>
    <row r="20" spans="1:22" ht="14.45" customHeight="1">
      <c r="A20" s="857"/>
      <c r="B20" s="858"/>
      <c r="C20" s="859"/>
      <c r="D20" s="858"/>
      <c r="E20" s="1207"/>
      <c r="F20" s="1208" t="s">
        <v>130</v>
      </c>
      <c r="G20" s="1202">
        <v>125000</v>
      </c>
      <c r="H20" s="339" t="s">
        <v>109</v>
      </c>
      <c r="I20" s="1203">
        <v>7</v>
      </c>
      <c r="J20" s="339" t="s">
        <v>109</v>
      </c>
      <c r="K20" s="1204">
        <v>12</v>
      </c>
      <c r="L20" s="1205"/>
      <c r="M20" s="1204"/>
      <c r="N20" s="866"/>
      <c r="O20" s="866" t="s">
        <v>110</v>
      </c>
      <c r="P20" s="873">
        <f>ROUNDUP(G20*I20*K20,-3)</f>
        <v>10500000</v>
      </c>
      <c r="Q20" s="388"/>
      <c r="R20" s="868"/>
      <c r="S20" s="388"/>
      <c r="T20" s="1206"/>
    </row>
    <row r="21" spans="1:22" ht="14.45" customHeight="1">
      <c r="A21" s="857"/>
      <c r="B21" s="858"/>
      <c r="C21" s="859"/>
      <c r="D21" s="858"/>
      <c r="E21" s="1200"/>
      <c r="F21" s="1193" t="s">
        <v>131</v>
      </c>
      <c r="G21" s="865"/>
      <c r="H21" s="339"/>
      <c r="I21" s="339"/>
      <c r="J21" s="339"/>
      <c r="K21" s="339"/>
      <c r="L21" s="1216"/>
      <c r="M21" s="339"/>
      <c r="N21" s="866"/>
      <c r="O21" s="866"/>
      <c r="P21" s="867">
        <f>SUM(P22:P24)</f>
        <v>8400000</v>
      </c>
      <c r="Q21" s="388"/>
      <c r="R21" s="868"/>
      <c r="S21" s="388"/>
      <c r="T21" s="1206"/>
    </row>
    <row r="22" spans="1:22" ht="14.45" customHeight="1">
      <c r="A22" s="857"/>
      <c r="B22" s="858"/>
      <c r="C22" s="859"/>
      <c r="D22" s="858"/>
      <c r="E22" s="1207"/>
      <c r="F22" s="1208" t="s">
        <v>549</v>
      </c>
      <c r="G22" s="871">
        <v>40000</v>
      </c>
      <c r="H22" s="339" t="s">
        <v>109</v>
      </c>
      <c r="I22" s="1203">
        <v>8</v>
      </c>
      <c r="J22" s="339" t="s">
        <v>109</v>
      </c>
      <c r="K22" s="1204">
        <v>12</v>
      </c>
      <c r="L22" s="1205"/>
      <c r="M22" s="1204"/>
      <c r="N22" s="866"/>
      <c r="O22" s="866" t="s">
        <v>110</v>
      </c>
      <c r="P22" s="873">
        <f>ROUNDUP(G22*I22*K22,-3)</f>
        <v>3840000</v>
      </c>
      <c r="Q22" s="388"/>
      <c r="R22" s="868"/>
      <c r="S22" s="388"/>
      <c r="T22" s="1206"/>
    </row>
    <row r="23" spans="1:22" ht="14.45" customHeight="1">
      <c r="A23" s="857"/>
      <c r="B23" s="858"/>
      <c r="C23" s="859"/>
      <c r="D23" s="858"/>
      <c r="E23" s="1207"/>
      <c r="F23" s="1208" t="s">
        <v>550</v>
      </c>
      <c r="G23" s="871">
        <v>20000</v>
      </c>
      <c r="H23" s="339" t="s">
        <v>109</v>
      </c>
      <c r="I23" s="1203">
        <v>10</v>
      </c>
      <c r="J23" s="339" t="s">
        <v>109</v>
      </c>
      <c r="K23" s="1204">
        <v>12</v>
      </c>
      <c r="L23" s="1205"/>
      <c r="M23" s="1204"/>
      <c r="N23" s="866"/>
      <c r="O23" s="866" t="s">
        <v>110</v>
      </c>
      <c r="P23" s="873">
        <f>ROUNDUP(G23*I23*K23,-3)</f>
        <v>2400000</v>
      </c>
      <c r="Q23" s="388"/>
      <c r="R23" s="868"/>
      <c r="S23" s="388"/>
      <c r="T23" s="1206"/>
    </row>
    <row r="24" spans="1:22" ht="14.45" customHeight="1">
      <c r="A24" s="857"/>
      <c r="B24" s="858"/>
      <c r="C24" s="859"/>
      <c r="D24" s="858"/>
      <c r="E24" s="1207"/>
      <c r="F24" s="1217" t="s">
        <v>551</v>
      </c>
      <c r="G24" s="871">
        <v>60000</v>
      </c>
      <c r="H24" s="339" t="s">
        <v>109</v>
      </c>
      <c r="I24" s="1203">
        <v>3</v>
      </c>
      <c r="J24" s="339" t="s">
        <v>109</v>
      </c>
      <c r="K24" s="1204">
        <v>12</v>
      </c>
      <c r="L24" s="1205"/>
      <c r="M24" s="1204"/>
      <c r="N24" s="866"/>
      <c r="O24" s="866" t="s">
        <v>110</v>
      </c>
      <c r="P24" s="873">
        <f>ROUNDUP(G24*I24*K24,-3)</f>
        <v>2160000</v>
      </c>
      <c r="Q24" s="388"/>
      <c r="R24" s="868"/>
      <c r="S24" s="388"/>
      <c r="T24" s="1206"/>
    </row>
    <row r="25" spans="1:22" ht="14.45" customHeight="1">
      <c r="A25" s="857"/>
      <c r="B25" s="858"/>
      <c r="C25" s="859"/>
      <c r="D25" s="858"/>
      <c r="E25" s="1200"/>
      <c r="F25" s="1193" t="s">
        <v>132</v>
      </c>
      <c r="G25" s="865"/>
      <c r="H25" s="339"/>
      <c r="I25" s="339"/>
      <c r="J25" s="339"/>
      <c r="K25" s="339"/>
      <c r="L25" s="1216"/>
      <c r="M25" s="339"/>
      <c r="N25" s="866"/>
      <c r="O25" s="866"/>
      <c r="P25" s="867">
        <f>SUM(P26:P26)</f>
        <v>17160000</v>
      </c>
      <c r="Q25" s="388"/>
      <c r="R25" s="868"/>
      <c r="S25" s="388"/>
      <c r="T25" s="1206"/>
    </row>
    <row r="26" spans="1:22" ht="14.45" customHeight="1">
      <c r="A26" s="857"/>
      <c r="B26" s="858"/>
      <c r="C26" s="859"/>
      <c r="D26" s="858"/>
      <c r="E26" s="1207"/>
      <c r="F26" s="1201" t="s">
        <v>133</v>
      </c>
      <c r="G26" s="871">
        <v>130000</v>
      </c>
      <c r="H26" s="339" t="s">
        <v>109</v>
      </c>
      <c r="I26" s="1203">
        <v>11</v>
      </c>
      <c r="J26" s="339" t="s">
        <v>109</v>
      </c>
      <c r="K26" s="1204">
        <v>12</v>
      </c>
      <c r="L26" s="1205"/>
      <c r="M26" s="1204"/>
      <c r="N26" s="866"/>
      <c r="O26" s="866" t="s">
        <v>110</v>
      </c>
      <c r="P26" s="873">
        <f>ROUNDUP(G26*I26*K26,-3)</f>
        <v>17160000</v>
      </c>
      <c r="Q26" s="388"/>
      <c r="R26" s="868"/>
      <c r="S26" s="388"/>
      <c r="T26" s="1206"/>
    </row>
    <row r="27" spans="1:22" ht="14.45" customHeight="1">
      <c r="A27" s="857"/>
      <c r="B27" s="858"/>
      <c r="C27" s="859"/>
      <c r="D27" s="858"/>
      <c r="E27" s="1200"/>
      <c r="F27" s="1193" t="s">
        <v>134</v>
      </c>
      <c r="G27" s="865"/>
      <c r="H27" s="339"/>
      <c r="I27" s="339"/>
      <c r="J27" s="339"/>
      <c r="K27" s="339"/>
      <c r="L27" s="1216"/>
      <c r="M27" s="339"/>
      <c r="N27" s="866"/>
      <c r="O27" s="866"/>
      <c r="P27" s="867">
        <f>SUM(P28:P29)</f>
        <v>3600000</v>
      </c>
      <c r="Q27" s="388"/>
      <c r="R27" s="868"/>
      <c r="S27" s="388"/>
      <c r="T27" s="1206"/>
    </row>
    <row r="28" spans="1:22" ht="14.45" customHeight="1">
      <c r="A28" s="857"/>
      <c r="B28" s="858"/>
      <c r="C28" s="859"/>
      <c r="D28" s="858"/>
      <c r="E28" s="1207"/>
      <c r="F28" s="1201" t="s">
        <v>135</v>
      </c>
      <c r="G28" s="871">
        <v>30000</v>
      </c>
      <c r="H28" s="339" t="s">
        <v>109</v>
      </c>
      <c r="I28" s="1203">
        <v>6</v>
      </c>
      <c r="J28" s="339" t="s">
        <v>109</v>
      </c>
      <c r="K28" s="1204">
        <v>12</v>
      </c>
      <c r="L28" s="1205"/>
      <c r="M28" s="1204"/>
      <c r="N28" s="866"/>
      <c r="O28" s="866" t="s">
        <v>110</v>
      </c>
      <c r="P28" s="873">
        <f>ROUNDUP(G28*I28*K28,-3)</f>
        <v>2160000</v>
      </c>
      <c r="Q28" s="388"/>
      <c r="R28" s="868"/>
      <c r="S28" s="388"/>
      <c r="T28" s="1206"/>
    </row>
    <row r="29" spans="1:22" ht="14.45" customHeight="1">
      <c r="A29" s="857"/>
      <c r="B29" s="858"/>
      <c r="C29" s="859"/>
      <c r="D29" s="858"/>
      <c r="E29" s="1207"/>
      <c r="F29" s="1201" t="s">
        <v>552</v>
      </c>
      <c r="G29" s="871">
        <v>40000</v>
      </c>
      <c r="H29" s="339" t="s">
        <v>109</v>
      </c>
      <c r="I29" s="1203">
        <v>3</v>
      </c>
      <c r="J29" s="339" t="s">
        <v>109</v>
      </c>
      <c r="K29" s="1204">
        <v>12</v>
      </c>
      <c r="L29" s="1205"/>
      <c r="M29" s="1204"/>
      <c r="N29" s="866"/>
      <c r="O29" s="866" t="s">
        <v>110</v>
      </c>
      <c r="P29" s="873">
        <f>ROUNDUP(G29*I29*K29,-3)</f>
        <v>1440000</v>
      </c>
      <c r="Q29" s="388"/>
      <c r="R29" s="868"/>
      <c r="S29" s="388"/>
      <c r="T29" s="1206"/>
    </row>
    <row r="30" spans="1:22" ht="14.45" customHeight="1">
      <c r="A30" s="857"/>
      <c r="B30" s="858"/>
      <c r="C30" s="859"/>
      <c r="D30" s="858"/>
      <c r="E30" s="859"/>
      <c r="F30" s="1193" t="s">
        <v>136</v>
      </c>
      <c r="G30" s="865"/>
      <c r="H30" s="339"/>
      <c r="I30" s="339"/>
      <c r="J30" s="339"/>
      <c r="K30" s="339"/>
      <c r="L30" s="1216"/>
      <c r="M30" s="339"/>
      <c r="N30" s="866"/>
      <c r="O30" s="866"/>
      <c r="P30" s="867">
        <f>SUM(P31:P31)</f>
        <v>70092000</v>
      </c>
      <c r="Q30" s="388"/>
      <c r="R30" s="868"/>
      <c r="S30" s="388"/>
      <c r="T30" s="1206"/>
    </row>
    <row r="31" spans="1:22" ht="14.45" customHeight="1">
      <c r="A31" s="857"/>
      <c r="B31" s="858"/>
      <c r="C31" s="859"/>
      <c r="D31" s="858"/>
      <c r="E31" s="1200"/>
      <c r="F31" s="1201" t="s">
        <v>137</v>
      </c>
      <c r="G31" s="1218">
        <v>584100</v>
      </c>
      <c r="H31" s="339" t="s">
        <v>109</v>
      </c>
      <c r="I31" s="1203">
        <v>10</v>
      </c>
      <c r="J31" s="339" t="s">
        <v>109</v>
      </c>
      <c r="K31" s="1204">
        <v>12</v>
      </c>
      <c r="L31" s="1216"/>
      <c r="M31" s="1219"/>
      <c r="N31" s="866"/>
      <c r="O31" s="866" t="s">
        <v>110</v>
      </c>
      <c r="P31" s="873">
        <f>ROUNDUP(G31*I31*K31,-3)</f>
        <v>70092000</v>
      </c>
      <c r="Q31" s="388"/>
      <c r="R31" s="868"/>
      <c r="S31" s="388"/>
      <c r="T31" s="1206"/>
    </row>
    <row r="32" spans="1:22" ht="14.45" customHeight="1">
      <c r="A32" s="857"/>
      <c r="B32" s="858"/>
      <c r="C32" s="859"/>
      <c r="D32" s="858"/>
      <c r="E32" s="1200"/>
      <c r="F32" s="1193" t="s">
        <v>138</v>
      </c>
      <c r="G32" s="1220"/>
      <c r="H32" s="339"/>
      <c r="I32" s="339"/>
      <c r="J32" s="339"/>
      <c r="K32" s="339"/>
      <c r="L32" s="1216"/>
      <c r="M32" s="339"/>
      <c r="N32" s="866"/>
      <c r="O32" s="866"/>
      <c r="P32" s="867">
        <f>SUM(P33:P34)</f>
        <v>13582000</v>
      </c>
      <c r="Q32" s="388"/>
      <c r="R32" s="868"/>
      <c r="S32" s="388"/>
      <c r="T32" s="1206"/>
    </row>
    <row r="33" spans="1:20" ht="14.45" customHeight="1">
      <c r="A33" s="857"/>
      <c r="B33" s="858"/>
      <c r="C33" s="859"/>
      <c r="D33" s="858"/>
      <c r="E33" s="1200"/>
      <c r="F33" s="1208" t="s">
        <v>129</v>
      </c>
      <c r="G33" s="871">
        <v>1476600</v>
      </c>
      <c r="H33" s="339" t="s">
        <v>109</v>
      </c>
      <c r="I33" s="1203">
        <v>2</v>
      </c>
      <c r="J33" s="339" t="s">
        <v>109</v>
      </c>
      <c r="K33" s="1204">
        <v>2</v>
      </c>
      <c r="L33" s="1205"/>
      <c r="M33" s="1204"/>
      <c r="N33" s="866"/>
      <c r="O33" s="866" t="s">
        <v>110</v>
      </c>
      <c r="P33" s="873">
        <f>ROUNDUP(G33*I33*K33,-3)</f>
        <v>5907000</v>
      </c>
      <c r="Q33" s="388"/>
      <c r="R33" s="868"/>
      <c r="S33" s="388"/>
      <c r="T33" s="1206"/>
    </row>
    <row r="34" spans="1:20" ht="14.45" customHeight="1">
      <c r="A34" s="857"/>
      <c r="B34" s="858"/>
      <c r="C34" s="859"/>
      <c r="D34" s="858"/>
      <c r="E34" s="1207"/>
      <c r="F34" s="1208" t="s">
        <v>130</v>
      </c>
      <c r="G34" s="871">
        <v>548200</v>
      </c>
      <c r="H34" s="339" t="s">
        <v>109</v>
      </c>
      <c r="I34" s="1203">
        <v>7</v>
      </c>
      <c r="J34" s="339" t="s">
        <v>109</v>
      </c>
      <c r="K34" s="1204">
        <v>2</v>
      </c>
      <c r="L34" s="1205"/>
      <c r="M34" s="1204"/>
      <c r="N34" s="866"/>
      <c r="O34" s="866" t="s">
        <v>110</v>
      </c>
      <c r="P34" s="873">
        <f>ROUNDUP(G34*I34*K34,-3)</f>
        <v>7675000</v>
      </c>
      <c r="Q34" s="388"/>
      <c r="R34" s="868"/>
      <c r="S34" s="388"/>
      <c r="T34" s="1206"/>
    </row>
    <row r="35" spans="1:20" ht="14.45" customHeight="1">
      <c r="A35" s="857"/>
      <c r="B35" s="858"/>
      <c r="C35" s="859"/>
      <c r="D35" s="858"/>
      <c r="E35" s="1200"/>
      <c r="F35" s="1193" t="s">
        <v>553</v>
      </c>
      <c r="G35" s="1220"/>
      <c r="H35" s="339"/>
      <c r="I35" s="339"/>
      <c r="J35" s="339"/>
      <c r="K35" s="339"/>
      <c r="L35" s="1216"/>
      <c r="M35" s="339"/>
      <c r="N35" s="866"/>
      <c r="O35" s="866"/>
      <c r="P35" s="867">
        <f>SUM(P36:P39)</f>
        <v>4140000</v>
      </c>
      <c r="Q35" s="388"/>
      <c r="R35" s="868"/>
      <c r="S35" s="388"/>
      <c r="T35" s="1206"/>
    </row>
    <row r="36" spans="1:20" ht="14.45" customHeight="1">
      <c r="A36" s="857"/>
      <c r="B36" s="858"/>
      <c r="C36" s="859"/>
      <c r="D36" s="858"/>
      <c r="E36" s="1200"/>
      <c r="F36" s="1208" t="s">
        <v>554</v>
      </c>
      <c r="G36" s="871">
        <v>50000</v>
      </c>
      <c r="H36" s="339" t="s">
        <v>109</v>
      </c>
      <c r="I36" s="1203">
        <v>4</v>
      </c>
      <c r="J36" s="339" t="s">
        <v>109</v>
      </c>
      <c r="K36" s="1204">
        <v>12</v>
      </c>
      <c r="L36" s="1205"/>
      <c r="M36" s="1204"/>
      <c r="N36" s="866"/>
      <c r="O36" s="866" t="s">
        <v>110</v>
      </c>
      <c r="P36" s="873">
        <f>ROUNDUP(G36*I36*K36,-3)</f>
        <v>2400000</v>
      </c>
      <c r="Q36" s="388"/>
      <c r="R36" s="868"/>
      <c r="S36" s="388"/>
      <c r="T36" s="1206"/>
    </row>
    <row r="37" spans="1:20" ht="14.45" customHeight="1">
      <c r="A37" s="857"/>
      <c r="B37" s="858"/>
      <c r="C37" s="859"/>
      <c r="D37" s="858"/>
      <c r="E37" s="1207"/>
      <c r="F37" s="1208" t="s">
        <v>555</v>
      </c>
      <c r="G37" s="871">
        <v>60000</v>
      </c>
      <c r="H37" s="339" t="s">
        <v>109</v>
      </c>
      <c r="I37" s="1203">
        <v>1</v>
      </c>
      <c r="J37" s="339" t="s">
        <v>109</v>
      </c>
      <c r="K37" s="1204">
        <v>12</v>
      </c>
      <c r="L37" s="1205"/>
      <c r="M37" s="1204"/>
      <c r="N37" s="866"/>
      <c r="O37" s="866" t="s">
        <v>110</v>
      </c>
      <c r="P37" s="873">
        <f>ROUNDUP(G37*I37*K37,-3)</f>
        <v>720000</v>
      </c>
      <c r="Q37" s="388"/>
      <c r="R37" s="868"/>
      <c r="S37" s="388"/>
      <c r="T37" s="1206"/>
    </row>
    <row r="38" spans="1:20" ht="14.45" customHeight="1">
      <c r="A38" s="857"/>
      <c r="B38" s="858"/>
      <c r="C38" s="859"/>
      <c r="D38" s="858"/>
      <c r="E38" s="1207"/>
      <c r="F38" s="1208" t="s">
        <v>555</v>
      </c>
      <c r="G38" s="871">
        <v>60000</v>
      </c>
      <c r="H38" s="339" t="s">
        <v>109</v>
      </c>
      <c r="I38" s="1203">
        <v>1</v>
      </c>
      <c r="J38" s="339" t="s">
        <v>109</v>
      </c>
      <c r="K38" s="1204">
        <v>1</v>
      </c>
      <c r="L38" s="1205"/>
      <c r="M38" s="1204"/>
      <c r="N38" s="866"/>
      <c r="O38" s="866" t="s">
        <v>110</v>
      </c>
      <c r="P38" s="873">
        <f>ROUNDUP(G38*I38*K38,-3)</f>
        <v>60000</v>
      </c>
      <c r="Q38" s="388"/>
      <c r="R38" s="868"/>
      <c r="S38" s="388"/>
      <c r="T38" s="1206"/>
    </row>
    <row r="39" spans="1:20" ht="14.45" customHeight="1">
      <c r="A39" s="1221"/>
      <c r="B39" s="870"/>
      <c r="C39" s="1222"/>
      <c r="D39" s="870"/>
      <c r="E39" s="1223"/>
      <c r="F39" s="1224" t="s">
        <v>556</v>
      </c>
      <c r="G39" s="893">
        <v>80000</v>
      </c>
      <c r="H39" s="895" t="s">
        <v>109</v>
      </c>
      <c r="I39" s="1225">
        <v>1</v>
      </c>
      <c r="J39" s="895" t="s">
        <v>109</v>
      </c>
      <c r="K39" s="1226">
        <v>12</v>
      </c>
      <c r="L39" s="1227"/>
      <c r="M39" s="1226"/>
      <c r="N39" s="896"/>
      <c r="O39" s="896" t="s">
        <v>110</v>
      </c>
      <c r="P39" s="897">
        <f>ROUNDUP(G39*I39*K39,-3)</f>
        <v>960000</v>
      </c>
      <c r="Q39" s="586"/>
      <c r="R39" s="898"/>
      <c r="S39" s="586"/>
      <c r="T39" s="1228"/>
    </row>
    <row r="40" spans="1:20" ht="14.45" customHeight="1">
      <c r="A40" s="857"/>
      <c r="B40" s="858"/>
      <c r="C40" s="859"/>
      <c r="D40" s="858"/>
      <c r="E40" s="1200"/>
      <c r="F40" s="1193" t="s">
        <v>140</v>
      </c>
      <c r="G40" s="865"/>
      <c r="H40" s="339"/>
      <c r="I40" s="339"/>
      <c r="J40" s="339"/>
      <c r="K40" s="339"/>
      <c r="L40" s="1216"/>
      <c r="M40" s="339"/>
      <c r="N40" s="866"/>
      <c r="O40" s="866"/>
      <c r="P40" s="867">
        <f>SUM(P41:P42)</f>
        <v>22782000</v>
      </c>
      <c r="Q40" s="388"/>
      <c r="R40" s="868"/>
      <c r="S40" s="388"/>
      <c r="T40" s="1206"/>
    </row>
    <row r="41" spans="1:20" ht="14.45" customHeight="1">
      <c r="A41" s="857"/>
      <c r="B41" s="858"/>
      <c r="C41" s="859"/>
      <c r="D41" s="858"/>
      <c r="E41" s="1200"/>
      <c r="F41" s="1201" t="s">
        <v>141</v>
      </c>
      <c r="G41" s="871">
        <v>1771900</v>
      </c>
      <c r="H41" s="339" t="s">
        <v>109</v>
      </c>
      <c r="I41" s="1203">
        <v>2</v>
      </c>
      <c r="J41" s="339" t="s">
        <v>109</v>
      </c>
      <c r="K41" s="1204">
        <v>2</v>
      </c>
      <c r="L41" s="1205"/>
      <c r="M41" s="1204"/>
      <c r="N41" s="866"/>
      <c r="O41" s="866" t="s">
        <v>110</v>
      </c>
      <c r="P41" s="873">
        <f>ROUNDUP(G41*I41*K41,-3)</f>
        <v>7088000</v>
      </c>
      <c r="Q41" s="388"/>
      <c r="R41" s="868"/>
      <c r="S41" s="388"/>
      <c r="T41" s="1206"/>
    </row>
    <row r="42" spans="1:20" ht="14.45" customHeight="1">
      <c r="A42" s="857"/>
      <c r="B42" s="858"/>
      <c r="C42" s="859"/>
      <c r="D42" s="858"/>
      <c r="E42" s="1207"/>
      <c r="F42" s="1208" t="s">
        <v>142</v>
      </c>
      <c r="G42" s="871">
        <v>1121000</v>
      </c>
      <c r="H42" s="339" t="s">
        <v>109</v>
      </c>
      <c r="I42" s="1203">
        <v>7</v>
      </c>
      <c r="J42" s="339" t="s">
        <v>109</v>
      </c>
      <c r="K42" s="1204">
        <v>2</v>
      </c>
      <c r="L42" s="1205"/>
      <c r="M42" s="1204"/>
      <c r="N42" s="866"/>
      <c r="O42" s="866" t="s">
        <v>110</v>
      </c>
      <c r="P42" s="873">
        <f>ROUNDUP(G42*I42*K42,-3)</f>
        <v>15694000</v>
      </c>
      <c r="Q42" s="388"/>
      <c r="R42" s="868"/>
      <c r="S42" s="388"/>
      <c r="T42" s="1206"/>
    </row>
    <row r="43" spans="1:20" ht="14.45" customHeight="1">
      <c r="A43" s="857"/>
      <c r="B43" s="858"/>
      <c r="C43" s="859"/>
      <c r="D43" s="858"/>
      <c r="E43" s="1200"/>
      <c r="F43" s="1193" t="s">
        <v>143</v>
      </c>
      <c r="G43" s="865"/>
      <c r="H43" s="339"/>
      <c r="I43" s="339"/>
      <c r="J43" s="339"/>
      <c r="K43" s="339"/>
      <c r="L43" s="1216"/>
      <c r="M43" s="339"/>
      <c r="N43" s="866"/>
      <c r="O43" s="866"/>
      <c r="P43" s="867">
        <f>SUM(P44:P44)</f>
        <v>3238000</v>
      </c>
      <c r="Q43" s="388"/>
      <c r="R43" s="868"/>
      <c r="S43" s="388"/>
      <c r="T43" s="1206"/>
    </row>
    <row r="44" spans="1:20" ht="14.45" customHeight="1">
      <c r="A44" s="857"/>
      <c r="B44" s="858"/>
      <c r="C44" s="859"/>
      <c r="D44" s="858"/>
      <c r="E44" s="1200"/>
      <c r="F44" s="1201" t="s">
        <v>144</v>
      </c>
      <c r="G44" s="871">
        <v>129500</v>
      </c>
      <c r="H44" s="339" t="s">
        <v>109</v>
      </c>
      <c r="I44" s="1203">
        <v>5</v>
      </c>
      <c r="J44" s="339" t="s">
        <v>109</v>
      </c>
      <c r="K44" s="1229">
        <v>5</v>
      </c>
      <c r="L44" s="1216"/>
      <c r="M44" s="1219"/>
      <c r="N44" s="866"/>
      <c r="O44" s="866" t="s">
        <v>110</v>
      </c>
      <c r="P44" s="873">
        <f>ROUNDUP(G44*I44*K44,-3)</f>
        <v>3238000</v>
      </c>
      <c r="Q44" s="388"/>
      <c r="R44" s="868"/>
      <c r="S44" s="388"/>
      <c r="T44" s="1206"/>
    </row>
    <row r="45" spans="1:20" ht="14.45" customHeight="1">
      <c r="A45" s="857"/>
      <c r="B45" s="858"/>
      <c r="C45" s="859"/>
      <c r="D45" s="858"/>
      <c r="E45" s="861" t="s">
        <v>2354</v>
      </c>
      <c r="F45" s="1191"/>
      <c r="G45" s="862"/>
      <c r="H45" s="861"/>
      <c r="I45" s="861"/>
      <c r="J45" s="861"/>
      <c r="K45" s="861"/>
      <c r="L45" s="1192"/>
      <c r="M45" s="861"/>
      <c r="N45" s="863"/>
      <c r="O45" s="863"/>
      <c r="P45" s="861"/>
      <c r="Q45" s="374">
        <f>P46</f>
        <v>3632000</v>
      </c>
      <c r="R45" s="374">
        <v>12500000</v>
      </c>
      <c r="S45" s="374">
        <f>Q45-R45</f>
        <v>-8868000</v>
      </c>
      <c r="T45" s="864">
        <f>S45/R45</f>
        <v>-0.70943999999999996</v>
      </c>
    </row>
    <row r="46" spans="1:20" ht="14.45" customHeight="1">
      <c r="A46" s="857"/>
      <c r="B46" s="858"/>
      <c r="C46" s="859"/>
      <c r="D46" s="858"/>
      <c r="E46" s="859"/>
      <c r="F46" s="1193" t="s">
        <v>145</v>
      </c>
      <c r="G46" s="1209"/>
      <c r="H46" s="1210"/>
      <c r="I46" s="1210"/>
      <c r="J46" s="1210"/>
      <c r="K46" s="1210"/>
      <c r="L46" s="1211"/>
      <c r="M46" s="1210"/>
      <c r="N46" s="1212"/>
      <c r="O46" s="1212"/>
      <c r="P46" s="1213">
        <f>SUM(P47)</f>
        <v>3632000</v>
      </c>
      <c r="Q46" s="1214"/>
      <c r="R46" s="1214"/>
      <c r="S46" s="1214"/>
      <c r="T46" s="1215"/>
    </row>
    <row r="47" spans="1:20" ht="14.45" customHeight="1">
      <c r="A47" s="857"/>
      <c r="B47" s="858"/>
      <c r="C47" s="859"/>
      <c r="D47" s="858"/>
      <c r="E47" s="1200"/>
      <c r="F47" s="1201" t="s">
        <v>146</v>
      </c>
      <c r="G47" s="1230">
        <v>9080</v>
      </c>
      <c r="H47" s="1231" t="s">
        <v>557</v>
      </c>
      <c r="I47" s="1232">
        <v>100</v>
      </c>
      <c r="J47" s="1231" t="s">
        <v>109</v>
      </c>
      <c r="K47" s="1233">
        <v>4</v>
      </c>
      <c r="L47" s="1234"/>
      <c r="M47" s="339"/>
      <c r="N47" s="339"/>
      <c r="O47" s="866" t="s">
        <v>110</v>
      </c>
      <c r="P47" s="873">
        <f>ROUNDUP(G47*I47*K47,-3)</f>
        <v>3632000</v>
      </c>
      <c r="Q47" s="388"/>
      <c r="R47" s="868"/>
      <c r="S47" s="388"/>
      <c r="T47" s="1206"/>
    </row>
    <row r="48" spans="1:20" ht="14.45" customHeight="1">
      <c r="A48" s="857"/>
      <c r="B48" s="858"/>
      <c r="C48" s="859"/>
      <c r="D48" s="858"/>
      <c r="E48" s="1235" t="s">
        <v>2355</v>
      </c>
      <c r="F48" s="1191"/>
      <c r="G48" s="862"/>
      <c r="H48" s="861"/>
      <c r="I48" s="861"/>
      <c r="J48" s="861"/>
      <c r="K48" s="861"/>
      <c r="L48" s="1192"/>
      <c r="M48" s="861"/>
      <c r="N48" s="863"/>
      <c r="O48" s="863"/>
      <c r="P48" s="861"/>
      <c r="Q48" s="374">
        <f>SUM(P49)</f>
        <v>41653000</v>
      </c>
      <c r="R48" s="374">
        <v>33109000</v>
      </c>
      <c r="S48" s="374">
        <f>Q48-R48</f>
        <v>8544000</v>
      </c>
      <c r="T48" s="864">
        <f>S48/R48</f>
        <v>0.25805672173729199</v>
      </c>
    </row>
    <row r="49" spans="1:20" ht="14.45" customHeight="1">
      <c r="A49" s="857"/>
      <c r="B49" s="858"/>
      <c r="C49" s="859"/>
      <c r="D49" s="858"/>
      <c r="E49" s="859"/>
      <c r="F49" s="1193" t="s">
        <v>147</v>
      </c>
      <c r="G49" s="865"/>
      <c r="H49" s="339"/>
      <c r="I49" s="339"/>
      <c r="J49" s="339"/>
      <c r="K49" s="339"/>
      <c r="L49" s="1216"/>
      <c r="M49" s="339"/>
      <c r="N49" s="866"/>
      <c r="O49" s="866"/>
      <c r="P49" s="867">
        <f>SUM(P50:P50)</f>
        <v>41653000</v>
      </c>
      <c r="Q49" s="388"/>
      <c r="R49" s="868"/>
      <c r="S49" s="388"/>
      <c r="T49" s="1206"/>
    </row>
    <row r="50" spans="1:20" ht="14.45" customHeight="1">
      <c r="A50" s="857"/>
      <c r="B50" s="858"/>
      <c r="C50" s="859"/>
      <c r="D50" s="858"/>
      <c r="E50" s="1200"/>
      <c r="F50" s="1201" t="s">
        <v>148</v>
      </c>
      <c r="G50" s="871">
        <v>499829000</v>
      </c>
      <c r="H50" s="339" t="s">
        <v>109</v>
      </c>
      <c r="I50" s="1988">
        <v>12</v>
      </c>
      <c r="J50" s="1988"/>
      <c r="K50" s="1204"/>
      <c r="L50" s="1205"/>
      <c r="M50" s="1204"/>
      <c r="N50" s="866"/>
      <c r="O50" s="866" t="s">
        <v>110</v>
      </c>
      <c r="P50" s="873">
        <f>ROUNDUP((G50/12),-3)</f>
        <v>41653000</v>
      </c>
      <c r="Q50" s="388"/>
      <c r="R50" s="868"/>
      <c r="S50" s="388"/>
      <c r="T50" s="1206"/>
    </row>
    <row r="51" spans="1:20" ht="14.45" customHeight="1">
      <c r="A51" s="857"/>
      <c r="B51" s="858"/>
      <c r="C51" s="859"/>
      <c r="D51" s="1185" t="s">
        <v>149</v>
      </c>
      <c r="E51" s="1185"/>
      <c r="F51" s="1186"/>
      <c r="G51" s="1187"/>
      <c r="H51" s="1185"/>
      <c r="I51" s="1185"/>
      <c r="J51" s="1185"/>
      <c r="K51" s="1185"/>
      <c r="L51" s="1184"/>
      <c r="M51" s="1185"/>
      <c r="N51" s="1188"/>
      <c r="O51" s="1188"/>
      <c r="P51" s="1185"/>
      <c r="Q51" s="1189">
        <f>SUM(Q52:Q174)</f>
        <v>247458000</v>
      </c>
      <c r="R51" s="1189">
        <f>SUM(R52:R174)</f>
        <v>251533000</v>
      </c>
      <c r="S51" s="1189">
        <f>Q51-R51</f>
        <v>-4075000</v>
      </c>
      <c r="T51" s="1236">
        <f>S51/R51</f>
        <v>-1.6200657567794284E-2</v>
      </c>
    </row>
    <row r="52" spans="1:20" ht="14.45" customHeight="1">
      <c r="A52" s="857"/>
      <c r="B52" s="858"/>
      <c r="C52" s="859"/>
      <c r="D52" s="858"/>
      <c r="E52" s="861" t="s">
        <v>2356</v>
      </c>
      <c r="F52" s="1191"/>
      <c r="G52" s="862"/>
      <c r="H52" s="861"/>
      <c r="I52" s="861"/>
      <c r="J52" s="861"/>
      <c r="K52" s="861"/>
      <c r="L52" s="1192"/>
      <c r="M52" s="861"/>
      <c r="N52" s="863"/>
      <c r="O52" s="863"/>
      <c r="P52" s="861"/>
      <c r="Q52" s="374">
        <f>P53+P59+P61</f>
        <v>73568000</v>
      </c>
      <c r="R52" s="374">
        <v>59789000</v>
      </c>
      <c r="S52" s="374">
        <f>Q52-R52</f>
        <v>13779000</v>
      </c>
      <c r="T52" s="864">
        <f>S52/R52</f>
        <v>0.23046045259161385</v>
      </c>
    </row>
    <row r="53" spans="1:20" ht="14.45" customHeight="1">
      <c r="A53" s="857"/>
      <c r="B53" s="858"/>
      <c r="C53" s="859"/>
      <c r="D53" s="858"/>
      <c r="E53" s="859"/>
      <c r="F53" s="1193" t="s">
        <v>150</v>
      </c>
      <c r="G53" s="865"/>
      <c r="H53" s="339"/>
      <c r="I53" s="339"/>
      <c r="J53" s="339"/>
      <c r="K53" s="339"/>
      <c r="L53" s="1216"/>
      <c r="M53" s="339"/>
      <c r="N53" s="866"/>
      <c r="O53" s="866"/>
      <c r="P53" s="867">
        <f>SUM(P54:P58)</f>
        <v>47788000</v>
      </c>
      <c r="Q53" s="388"/>
      <c r="R53" s="868"/>
      <c r="S53" s="388"/>
      <c r="T53" s="1206"/>
    </row>
    <row r="54" spans="1:20" ht="14.45" customHeight="1">
      <c r="A54" s="857"/>
      <c r="B54" s="858"/>
      <c r="C54" s="859"/>
      <c r="D54" s="858"/>
      <c r="E54" s="1200"/>
      <c r="F54" s="1201" t="s">
        <v>151</v>
      </c>
      <c r="G54" s="871">
        <v>499829000</v>
      </c>
      <c r="H54" s="339" t="s">
        <v>109</v>
      </c>
      <c r="I54" s="1237">
        <v>4.4999999999999998E-2</v>
      </c>
      <c r="J54" s="1237"/>
      <c r="K54" s="1204"/>
      <c r="L54" s="1205"/>
      <c r="M54" s="1204"/>
      <c r="N54" s="866"/>
      <c r="O54" s="866" t="s">
        <v>110</v>
      </c>
      <c r="P54" s="873">
        <f>ROUNDUP(G54*I54,-3)</f>
        <v>22493000</v>
      </c>
      <c r="Q54" s="388"/>
      <c r="R54" s="868"/>
      <c r="S54" s="388"/>
      <c r="T54" s="1206"/>
    </row>
    <row r="55" spans="1:20" ht="14.45" customHeight="1">
      <c r="A55" s="857"/>
      <c r="B55" s="858"/>
      <c r="C55" s="859"/>
      <c r="D55" s="858"/>
      <c r="E55" s="1207"/>
      <c r="F55" s="1208" t="s">
        <v>152</v>
      </c>
      <c r="G55" s="871">
        <v>499829000</v>
      </c>
      <c r="H55" s="339" t="s">
        <v>109</v>
      </c>
      <c r="I55" s="1237">
        <v>3.0599999999999999E-2</v>
      </c>
      <c r="J55" s="1237"/>
      <c r="K55" s="1204"/>
      <c r="L55" s="1205"/>
      <c r="M55" s="1204"/>
      <c r="N55" s="866"/>
      <c r="O55" s="866" t="s">
        <v>110</v>
      </c>
      <c r="P55" s="873">
        <f>ROUNDUP(G55*I55,-3)</f>
        <v>15295000</v>
      </c>
      <c r="Q55" s="388"/>
      <c r="R55" s="868"/>
      <c r="S55" s="388"/>
      <c r="T55" s="1206"/>
    </row>
    <row r="56" spans="1:20" ht="14.45" customHeight="1">
      <c r="A56" s="857"/>
      <c r="B56" s="858"/>
      <c r="C56" s="859"/>
      <c r="D56" s="858"/>
      <c r="E56" s="1207"/>
      <c r="F56" s="1208" t="s">
        <v>153</v>
      </c>
      <c r="G56" s="871">
        <f>P55</f>
        <v>15295000</v>
      </c>
      <c r="H56" s="339" t="s">
        <v>109</v>
      </c>
      <c r="I56" s="1237">
        <v>6.5500000000000003E-2</v>
      </c>
      <c r="J56" s="1237"/>
      <c r="K56" s="1204"/>
      <c r="L56" s="1205"/>
      <c r="M56" s="1204"/>
      <c r="N56" s="866"/>
      <c r="O56" s="866" t="s">
        <v>110</v>
      </c>
      <c r="P56" s="873">
        <f>ROUNDUP(G56*I56,-3)</f>
        <v>1002000</v>
      </c>
      <c r="Q56" s="388"/>
      <c r="R56" s="868"/>
      <c r="S56" s="388"/>
      <c r="T56" s="1206"/>
    </row>
    <row r="57" spans="1:20" ht="14.45" customHeight="1">
      <c r="A57" s="857"/>
      <c r="B57" s="858"/>
      <c r="C57" s="859"/>
      <c r="D57" s="858"/>
      <c r="E57" s="1207"/>
      <c r="F57" s="1208" t="s">
        <v>154</v>
      </c>
      <c r="G57" s="871">
        <v>499829000</v>
      </c>
      <c r="H57" s="339" t="s">
        <v>109</v>
      </c>
      <c r="I57" s="1237">
        <v>8.9999999999999993E-3</v>
      </c>
      <c r="J57" s="1237"/>
      <c r="K57" s="1204"/>
      <c r="L57" s="1205"/>
      <c r="M57" s="1204"/>
      <c r="N57" s="866"/>
      <c r="O57" s="866" t="s">
        <v>110</v>
      </c>
      <c r="P57" s="873">
        <f>ROUNDUP(G57*I57,-3)</f>
        <v>4499000</v>
      </c>
      <c r="Q57" s="388"/>
      <c r="R57" s="868"/>
      <c r="S57" s="388"/>
      <c r="T57" s="1206"/>
    </row>
    <row r="58" spans="1:20" ht="14.45" customHeight="1">
      <c r="A58" s="857"/>
      <c r="B58" s="858"/>
      <c r="C58" s="859"/>
      <c r="D58" s="858"/>
      <c r="E58" s="1207"/>
      <c r="F58" s="1208" t="s">
        <v>155</v>
      </c>
      <c r="G58" s="871">
        <v>499829000</v>
      </c>
      <c r="H58" s="339" t="s">
        <v>109</v>
      </c>
      <c r="I58" s="1237">
        <v>8.9999999999999993E-3</v>
      </c>
      <c r="J58" s="1237"/>
      <c r="K58" s="1204"/>
      <c r="L58" s="1205"/>
      <c r="M58" s="1204"/>
      <c r="N58" s="866"/>
      <c r="O58" s="866" t="s">
        <v>110</v>
      </c>
      <c r="P58" s="873">
        <f>ROUNDUP(G58*I58,-3)</f>
        <v>4499000</v>
      </c>
      <c r="Q58" s="388"/>
      <c r="R58" s="868"/>
      <c r="S58" s="388"/>
      <c r="T58" s="1206"/>
    </row>
    <row r="59" spans="1:20" ht="14.45" customHeight="1">
      <c r="A59" s="857"/>
      <c r="B59" s="858"/>
      <c r="C59" s="859"/>
      <c r="D59" s="858"/>
      <c r="E59" s="1207"/>
      <c r="F59" s="1193" t="s">
        <v>132</v>
      </c>
      <c r="G59" s="871"/>
      <c r="H59" s="339"/>
      <c r="I59" s="1238"/>
      <c r="J59" s="1238"/>
      <c r="K59" s="1204"/>
      <c r="L59" s="1205"/>
      <c r="M59" s="1204"/>
      <c r="N59" s="866"/>
      <c r="O59" s="866"/>
      <c r="P59" s="867">
        <f>SUM(P60)</f>
        <v>7680000</v>
      </c>
      <c r="Q59" s="388"/>
      <c r="R59" s="868"/>
      <c r="S59" s="388"/>
      <c r="T59" s="1206"/>
    </row>
    <row r="60" spans="1:20" ht="14.45" customHeight="1">
      <c r="A60" s="857"/>
      <c r="B60" s="858"/>
      <c r="C60" s="859"/>
      <c r="D60" s="858"/>
      <c r="E60" s="1207"/>
      <c r="F60" s="1201" t="s">
        <v>156</v>
      </c>
      <c r="G60" s="871">
        <v>8000</v>
      </c>
      <c r="H60" s="339" t="s">
        <v>109</v>
      </c>
      <c r="I60" s="1239">
        <v>10</v>
      </c>
      <c r="J60" s="339" t="s">
        <v>109</v>
      </c>
      <c r="K60" s="872">
        <v>8</v>
      </c>
      <c r="L60" s="339" t="s">
        <v>109</v>
      </c>
      <c r="M60" s="1204">
        <v>12</v>
      </c>
      <c r="N60" s="866"/>
      <c r="O60" s="866" t="s">
        <v>110</v>
      </c>
      <c r="P60" s="873">
        <f>G60*I60*K60*M60</f>
        <v>7680000</v>
      </c>
      <c r="Q60" s="388"/>
      <c r="R60" s="868"/>
      <c r="S60" s="388"/>
      <c r="T60" s="1206"/>
    </row>
    <row r="61" spans="1:20" ht="14.45" customHeight="1">
      <c r="A61" s="857"/>
      <c r="B61" s="858"/>
      <c r="C61" s="859"/>
      <c r="D61" s="858"/>
      <c r="E61" s="859"/>
      <c r="F61" s="1193" t="s">
        <v>157</v>
      </c>
      <c r="G61" s="865"/>
      <c r="H61" s="339"/>
      <c r="I61" s="339"/>
      <c r="J61" s="339"/>
      <c r="K61" s="339"/>
      <c r="L61" s="1216"/>
      <c r="M61" s="339"/>
      <c r="N61" s="866"/>
      <c r="O61" s="866"/>
      <c r="P61" s="867">
        <f>SUM(P62:P65)</f>
        <v>18100000</v>
      </c>
      <c r="Q61" s="388"/>
      <c r="R61" s="868"/>
      <c r="S61" s="388"/>
      <c r="T61" s="1206"/>
    </row>
    <row r="62" spans="1:20" ht="14.45" customHeight="1">
      <c r="A62" s="857"/>
      <c r="B62" s="858"/>
      <c r="C62" s="859"/>
      <c r="D62" s="858"/>
      <c r="E62" s="1200"/>
      <c r="F62" s="1201" t="s">
        <v>158</v>
      </c>
      <c r="G62" s="871">
        <v>150000</v>
      </c>
      <c r="H62" s="339" t="s">
        <v>109</v>
      </c>
      <c r="I62" s="1240">
        <v>10</v>
      </c>
      <c r="J62" s="1237"/>
      <c r="K62" s="1204"/>
      <c r="L62" s="1205"/>
      <c r="M62" s="1204"/>
      <c r="N62" s="866"/>
      <c r="O62" s="866" t="s">
        <v>110</v>
      </c>
      <c r="P62" s="873">
        <f>ROUNDUP(G62*I62,-3)</f>
        <v>1500000</v>
      </c>
      <c r="Q62" s="388"/>
      <c r="R62" s="868"/>
      <c r="S62" s="388"/>
      <c r="T62" s="1206"/>
    </row>
    <row r="63" spans="1:20" ht="14.45" customHeight="1">
      <c r="A63" s="857"/>
      <c r="B63" s="858"/>
      <c r="C63" s="859"/>
      <c r="D63" s="858"/>
      <c r="E63" s="1207"/>
      <c r="F63" s="1208" t="s">
        <v>159</v>
      </c>
      <c r="G63" s="871">
        <v>400000</v>
      </c>
      <c r="H63" s="339" t="s">
        <v>109</v>
      </c>
      <c r="I63" s="1240">
        <v>5</v>
      </c>
      <c r="J63" s="1237"/>
      <c r="K63" s="1204"/>
      <c r="L63" s="1205"/>
      <c r="M63" s="1204"/>
      <c r="N63" s="866"/>
      <c r="O63" s="866" t="s">
        <v>110</v>
      </c>
      <c r="P63" s="873">
        <f>ROUNDUP(G63*I63,-3)</f>
        <v>2000000</v>
      </c>
      <c r="Q63" s="388"/>
      <c r="R63" s="868"/>
      <c r="S63" s="388"/>
      <c r="T63" s="1206"/>
    </row>
    <row r="64" spans="1:20" ht="14.45" customHeight="1">
      <c r="A64" s="857"/>
      <c r="B64" s="858"/>
      <c r="C64" s="859"/>
      <c r="D64" s="858"/>
      <c r="E64" s="1207"/>
      <c r="F64" s="1208" t="s">
        <v>160</v>
      </c>
      <c r="G64" s="871">
        <v>1100000</v>
      </c>
      <c r="H64" s="339" t="s">
        <v>109</v>
      </c>
      <c r="I64" s="1240">
        <v>10</v>
      </c>
      <c r="J64" s="1237"/>
      <c r="K64" s="1204"/>
      <c r="L64" s="1205"/>
      <c r="M64" s="1204"/>
      <c r="N64" s="866"/>
      <c r="O64" s="866" t="s">
        <v>110</v>
      </c>
      <c r="P64" s="873">
        <f>ROUNDUP(G64*I64,-3)</f>
        <v>11000000</v>
      </c>
      <c r="Q64" s="388"/>
      <c r="R64" s="868"/>
      <c r="S64" s="388"/>
      <c r="T64" s="1206"/>
    </row>
    <row r="65" spans="1:20" ht="14.45" customHeight="1">
      <c r="A65" s="857"/>
      <c r="B65" s="858"/>
      <c r="C65" s="859"/>
      <c r="D65" s="858"/>
      <c r="E65" s="1207"/>
      <c r="F65" s="1208" t="s">
        <v>161</v>
      </c>
      <c r="G65" s="871">
        <v>300000</v>
      </c>
      <c r="H65" s="339" t="s">
        <v>109</v>
      </c>
      <c r="I65" s="1241">
        <v>6</v>
      </c>
      <c r="J65" s="339" t="s">
        <v>109</v>
      </c>
      <c r="K65" s="1242">
        <v>2</v>
      </c>
      <c r="L65" s="1205"/>
      <c r="M65" s="1204"/>
      <c r="N65" s="866"/>
      <c r="O65" s="866" t="s">
        <v>110</v>
      </c>
      <c r="P65" s="873">
        <f>G65*I65*K65</f>
        <v>3600000</v>
      </c>
      <c r="Q65" s="388"/>
      <c r="R65" s="868"/>
      <c r="S65" s="388"/>
      <c r="T65" s="1206"/>
    </row>
    <row r="66" spans="1:20" ht="14.45" customHeight="1">
      <c r="A66" s="857"/>
      <c r="B66" s="858"/>
      <c r="C66" s="859"/>
      <c r="D66" s="858"/>
      <c r="E66" s="861" t="s">
        <v>2357</v>
      </c>
      <c r="F66" s="1191"/>
      <c r="G66" s="862"/>
      <c r="H66" s="861"/>
      <c r="I66" s="861"/>
      <c r="J66" s="861"/>
      <c r="K66" s="861"/>
      <c r="L66" s="1192"/>
      <c r="M66" s="861"/>
      <c r="N66" s="863"/>
      <c r="O66" s="863"/>
      <c r="P66" s="861"/>
      <c r="Q66" s="374">
        <f>SUM(P67)</f>
        <v>18600000</v>
      </c>
      <c r="R66" s="374">
        <v>30000000</v>
      </c>
      <c r="S66" s="374">
        <f>Q66-R66</f>
        <v>-11400000</v>
      </c>
      <c r="T66" s="864">
        <f>S66/R66</f>
        <v>-0.38</v>
      </c>
    </row>
    <row r="67" spans="1:20" ht="14.45" customHeight="1">
      <c r="A67" s="857"/>
      <c r="B67" s="858"/>
      <c r="C67" s="859"/>
      <c r="D67" s="858"/>
      <c r="E67" s="859"/>
      <c r="F67" s="1193" t="s">
        <v>162</v>
      </c>
      <c r="G67" s="865"/>
      <c r="H67" s="339"/>
      <c r="I67" s="339"/>
      <c r="J67" s="339"/>
      <c r="K67" s="339"/>
      <c r="L67" s="1216"/>
      <c r="M67" s="339"/>
      <c r="N67" s="866"/>
      <c r="O67" s="866"/>
      <c r="P67" s="867">
        <f>SUM(P68:P69)</f>
        <v>18600000</v>
      </c>
      <c r="Q67" s="388"/>
      <c r="R67" s="868"/>
      <c r="S67" s="388"/>
      <c r="T67" s="1206"/>
    </row>
    <row r="68" spans="1:20" ht="14.45" customHeight="1">
      <c r="A68" s="857"/>
      <c r="B68" s="858"/>
      <c r="C68" s="859"/>
      <c r="D68" s="858"/>
      <c r="E68" s="1200"/>
      <c r="F68" s="1201" t="s">
        <v>163</v>
      </c>
      <c r="G68" s="871">
        <v>150000</v>
      </c>
      <c r="H68" s="339" t="s">
        <v>109</v>
      </c>
      <c r="I68" s="1203">
        <v>9</v>
      </c>
      <c r="J68" s="339" t="s">
        <v>109</v>
      </c>
      <c r="K68" s="1204">
        <v>12</v>
      </c>
      <c r="L68" s="1205"/>
      <c r="M68" s="1204"/>
      <c r="N68" s="866"/>
      <c r="O68" s="866" t="s">
        <v>110</v>
      </c>
      <c r="P68" s="873">
        <f>G68*I68*K68</f>
        <v>16200000</v>
      </c>
      <c r="Q68" s="388"/>
      <c r="R68" s="868"/>
      <c r="S68" s="388"/>
      <c r="T68" s="1206"/>
    </row>
    <row r="69" spans="1:20" ht="14.45" customHeight="1">
      <c r="A69" s="857"/>
      <c r="B69" s="858"/>
      <c r="C69" s="859"/>
      <c r="D69" s="858"/>
      <c r="E69" s="1223"/>
      <c r="F69" s="1224" t="s">
        <v>164</v>
      </c>
      <c r="G69" s="1243">
        <v>100000</v>
      </c>
      <c r="H69" s="895" t="s">
        <v>109</v>
      </c>
      <c r="I69" s="1225">
        <v>4</v>
      </c>
      <c r="J69" s="895" t="s">
        <v>109</v>
      </c>
      <c r="K69" s="1226">
        <v>6</v>
      </c>
      <c r="L69" s="1227"/>
      <c r="M69" s="1226"/>
      <c r="N69" s="896"/>
      <c r="O69" s="896" t="s">
        <v>110</v>
      </c>
      <c r="P69" s="897">
        <f>G69*I69*K69</f>
        <v>2400000</v>
      </c>
      <c r="Q69" s="586"/>
      <c r="R69" s="898"/>
      <c r="S69" s="586"/>
      <c r="T69" s="1228"/>
    </row>
    <row r="70" spans="1:20" ht="14.45" customHeight="1">
      <c r="A70" s="857"/>
      <c r="B70" s="858"/>
      <c r="C70" s="859"/>
      <c r="D70" s="858"/>
      <c r="E70" s="1244" t="s">
        <v>2358</v>
      </c>
      <c r="F70" s="1245"/>
      <c r="G70" s="1246"/>
      <c r="H70" s="1244"/>
      <c r="I70" s="1244"/>
      <c r="J70" s="1244"/>
      <c r="K70" s="1244"/>
      <c r="L70" s="1247"/>
      <c r="M70" s="1244"/>
      <c r="N70" s="1248"/>
      <c r="O70" s="1248"/>
      <c r="P70" s="1244"/>
      <c r="Q70" s="1249">
        <f>SUM(P71+P73+P75+P77)</f>
        <v>6080000</v>
      </c>
      <c r="R70" s="1249">
        <v>4880000</v>
      </c>
      <c r="S70" s="1249">
        <f>Q70-R70</f>
        <v>1200000</v>
      </c>
      <c r="T70" s="1250">
        <f>S70/R70</f>
        <v>0.24590163934426229</v>
      </c>
    </row>
    <row r="71" spans="1:20" ht="14.45" customHeight="1">
      <c r="A71" s="857"/>
      <c r="B71" s="858"/>
      <c r="C71" s="859"/>
      <c r="D71" s="858"/>
      <c r="E71" s="859"/>
      <c r="F71" s="1193" t="s">
        <v>165</v>
      </c>
      <c r="G71" s="865"/>
      <c r="H71" s="339"/>
      <c r="I71" s="339"/>
      <c r="J71" s="339"/>
      <c r="K71" s="339"/>
      <c r="L71" s="1216"/>
      <c r="M71" s="339"/>
      <c r="N71" s="866"/>
      <c r="O71" s="866"/>
      <c r="P71" s="867">
        <f>SUM(P72:P72)</f>
        <v>960000</v>
      </c>
      <c r="Q71" s="388"/>
      <c r="R71" s="868"/>
      <c r="S71" s="388"/>
      <c r="T71" s="1206"/>
    </row>
    <row r="72" spans="1:20" ht="14.45" customHeight="1">
      <c r="A72" s="857"/>
      <c r="B72" s="858"/>
      <c r="C72" s="859"/>
      <c r="D72" s="858"/>
      <c r="E72" s="1200"/>
      <c r="F72" s="1201" t="s">
        <v>166</v>
      </c>
      <c r="G72" s="871">
        <v>80000</v>
      </c>
      <c r="H72" s="339" t="s">
        <v>109</v>
      </c>
      <c r="I72" s="1251">
        <v>1</v>
      </c>
      <c r="J72" s="1252" t="s">
        <v>109</v>
      </c>
      <c r="K72" s="1204">
        <v>12</v>
      </c>
      <c r="L72" s="1205"/>
      <c r="M72" s="1204"/>
      <c r="N72" s="866"/>
      <c r="O72" s="866" t="s">
        <v>110</v>
      </c>
      <c r="P72" s="873">
        <f>ROUNDUP(G72*I72*K72,-3)</f>
        <v>960000</v>
      </c>
      <c r="Q72" s="388"/>
      <c r="R72" s="868"/>
      <c r="S72" s="388"/>
      <c r="T72" s="1206"/>
    </row>
    <row r="73" spans="1:20" ht="14.45" customHeight="1">
      <c r="A73" s="857"/>
      <c r="B73" s="858"/>
      <c r="C73" s="859"/>
      <c r="D73" s="858"/>
      <c r="E73" s="859"/>
      <c r="F73" s="1193" t="s">
        <v>167</v>
      </c>
      <c r="G73" s="865"/>
      <c r="H73" s="339"/>
      <c r="I73" s="1252"/>
      <c r="J73" s="339"/>
      <c r="K73" s="339"/>
      <c r="L73" s="1216"/>
      <c r="M73" s="339"/>
      <c r="N73" s="866"/>
      <c r="O73" s="866"/>
      <c r="P73" s="867">
        <f>SUM(P74:P74)</f>
        <v>3000000</v>
      </c>
      <c r="Q73" s="388"/>
      <c r="R73" s="868"/>
      <c r="S73" s="388"/>
      <c r="T73" s="1206"/>
    </row>
    <row r="74" spans="1:20" ht="14.45" customHeight="1">
      <c r="A74" s="857"/>
      <c r="B74" s="858"/>
      <c r="C74" s="859"/>
      <c r="D74" s="858"/>
      <c r="E74" s="1200"/>
      <c r="F74" s="1201" t="s">
        <v>168</v>
      </c>
      <c r="G74" s="871">
        <v>250000</v>
      </c>
      <c r="H74" s="339" t="s">
        <v>109</v>
      </c>
      <c r="I74" s="1251">
        <v>1</v>
      </c>
      <c r="J74" s="339" t="s">
        <v>109</v>
      </c>
      <c r="K74" s="1204">
        <v>12</v>
      </c>
      <c r="L74" s="1205"/>
      <c r="M74" s="1204"/>
      <c r="N74" s="866"/>
      <c r="O74" s="866" t="s">
        <v>110</v>
      </c>
      <c r="P74" s="873">
        <f>ROUNDUP(G74*I74*K74,-3)</f>
        <v>3000000</v>
      </c>
      <c r="Q74" s="388"/>
      <c r="R74" s="868"/>
      <c r="S74" s="388"/>
      <c r="T74" s="1206"/>
    </row>
    <row r="75" spans="1:20" ht="14.45" customHeight="1">
      <c r="A75" s="857"/>
      <c r="B75" s="858"/>
      <c r="C75" s="859"/>
      <c r="D75" s="858"/>
      <c r="E75" s="859"/>
      <c r="F75" s="1193" t="s">
        <v>169</v>
      </c>
      <c r="G75" s="865"/>
      <c r="H75" s="339"/>
      <c r="I75" s="1252"/>
      <c r="J75" s="339"/>
      <c r="K75" s="339"/>
      <c r="L75" s="1216"/>
      <c r="M75" s="339"/>
      <c r="N75" s="866"/>
      <c r="O75" s="866"/>
      <c r="P75" s="867">
        <f>SUM(P76:P76)</f>
        <v>2000000</v>
      </c>
      <c r="Q75" s="388"/>
      <c r="R75" s="868"/>
      <c r="S75" s="388"/>
      <c r="T75" s="1206"/>
    </row>
    <row r="76" spans="1:20" ht="14.45" customHeight="1">
      <c r="A76" s="857"/>
      <c r="B76" s="858"/>
      <c r="C76" s="859"/>
      <c r="D76" s="858"/>
      <c r="E76" s="1200"/>
      <c r="F76" s="1201" t="s">
        <v>170</v>
      </c>
      <c r="G76" s="871">
        <v>2000000</v>
      </c>
      <c r="H76" s="339" t="s">
        <v>109</v>
      </c>
      <c r="I76" s="1251">
        <v>1</v>
      </c>
      <c r="J76" s="339"/>
      <c r="K76" s="1204"/>
      <c r="L76" s="1205"/>
      <c r="M76" s="1204"/>
      <c r="N76" s="866"/>
      <c r="O76" s="866" t="s">
        <v>110</v>
      </c>
      <c r="P76" s="873">
        <f>ROUNDUP(G76*I76,-3)</f>
        <v>2000000</v>
      </c>
      <c r="Q76" s="388"/>
      <c r="R76" s="868"/>
      <c r="S76" s="388"/>
      <c r="T76" s="1206"/>
    </row>
    <row r="77" spans="1:20" ht="14.45" customHeight="1">
      <c r="A77" s="857"/>
      <c r="B77" s="858"/>
      <c r="C77" s="859"/>
      <c r="D77" s="858"/>
      <c r="E77" s="859"/>
      <c r="F77" s="1193" t="s">
        <v>171</v>
      </c>
      <c r="G77" s="865"/>
      <c r="H77" s="339"/>
      <c r="I77" s="1252"/>
      <c r="J77" s="339"/>
      <c r="K77" s="339"/>
      <c r="L77" s="1216"/>
      <c r="M77" s="339"/>
      <c r="N77" s="866"/>
      <c r="O77" s="866"/>
      <c r="P77" s="867">
        <f>SUM(P78:P78)</f>
        <v>120000</v>
      </c>
      <c r="Q77" s="388"/>
      <c r="R77" s="868"/>
      <c r="S77" s="388"/>
      <c r="T77" s="1206"/>
    </row>
    <row r="78" spans="1:20" ht="14.45" customHeight="1">
      <c r="A78" s="1221"/>
      <c r="B78" s="870"/>
      <c r="C78" s="1222"/>
      <c r="D78" s="870"/>
      <c r="E78" s="1253"/>
      <c r="F78" s="1254" t="s">
        <v>172</v>
      </c>
      <c r="G78" s="893">
        <v>120000</v>
      </c>
      <c r="H78" s="895" t="s">
        <v>109</v>
      </c>
      <c r="I78" s="1255">
        <v>1</v>
      </c>
      <c r="J78" s="895"/>
      <c r="K78" s="1226"/>
      <c r="L78" s="1227"/>
      <c r="M78" s="1226"/>
      <c r="N78" s="896"/>
      <c r="O78" s="896" t="s">
        <v>110</v>
      </c>
      <c r="P78" s="897">
        <f>ROUNDUP(G78*I78,-3)</f>
        <v>120000</v>
      </c>
      <c r="Q78" s="586"/>
      <c r="R78" s="898"/>
      <c r="S78" s="586"/>
      <c r="T78" s="1228"/>
    </row>
    <row r="79" spans="1:20" ht="14.45" customHeight="1">
      <c r="A79" s="857"/>
      <c r="B79" s="858"/>
      <c r="C79" s="859"/>
      <c r="D79" s="858"/>
      <c r="E79" s="1244" t="s">
        <v>2359</v>
      </c>
      <c r="F79" s="1245"/>
      <c r="G79" s="1246"/>
      <c r="H79" s="1244"/>
      <c r="I79" s="1244"/>
      <c r="J79" s="1244"/>
      <c r="K79" s="1244"/>
      <c r="L79" s="1247"/>
      <c r="M79" s="1244"/>
      <c r="N79" s="1248"/>
      <c r="O79" s="1248"/>
      <c r="P79" s="1244"/>
      <c r="Q79" s="1249">
        <f>P80</f>
        <v>10800000</v>
      </c>
      <c r="R79" s="1249">
        <v>10800000</v>
      </c>
      <c r="S79" s="1249">
        <f>Q79-R79</f>
        <v>0</v>
      </c>
      <c r="T79" s="1250">
        <f>S79/R79</f>
        <v>0</v>
      </c>
    </row>
    <row r="80" spans="1:20" ht="14.45" customHeight="1">
      <c r="A80" s="857"/>
      <c r="B80" s="858"/>
      <c r="C80" s="859"/>
      <c r="D80" s="858"/>
      <c r="E80" s="859"/>
      <c r="F80" s="1193" t="s">
        <v>173</v>
      </c>
      <c r="G80" s="865"/>
      <c r="H80" s="339"/>
      <c r="I80" s="339"/>
      <c r="J80" s="339"/>
      <c r="K80" s="339"/>
      <c r="L80" s="1216"/>
      <c r="M80" s="339"/>
      <c r="N80" s="866"/>
      <c r="O80" s="866"/>
      <c r="P80" s="867">
        <f>SUM(P81:P81)</f>
        <v>10800000</v>
      </c>
      <c r="Q80" s="388"/>
      <c r="R80" s="868"/>
      <c r="S80" s="388"/>
      <c r="T80" s="1206"/>
    </row>
    <row r="81" spans="1:20" ht="14.45" customHeight="1">
      <c r="A81" s="857"/>
      <c r="B81" s="858"/>
      <c r="C81" s="859"/>
      <c r="D81" s="858"/>
      <c r="E81" s="1200"/>
      <c r="F81" s="1201" t="s">
        <v>174</v>
      </c>
      <c r="G81" s="871">
        <v>900000</v>
      </c>
      <c r="H81" s="339" t="s">
        <v>109</v>
      </c>
      <c r="I81" s="1251">
        <v>1</v>
      </c>
      <c r="J81" s="339" t="s">
        <v>109</v>
      </c>
      <c r="K81" s="1205">
        <v>12</v>
      </c>
      <c r="L81" s="1256"/>
      <c r="M81" s="1204"/>
      <c r="N81" s="866"/>
      <c r="O81" s="866" t="s">
        <v>110</v>
      </c>
      <c r="P81" s="873">
        <f>G81*I81*K81</f>
        <v>10800000</v>
      </c>
      <c r="Q81" s="388"/>
      <c r="R81" s="868"/>
      <c r="S81" s="388"/>
      <c r="T81" s="1206"/>
    </row>
    <row r="82" spans="1:20" ht="14.45" customHeight="1">
      <c r="A82" s="857"/>
      <c r="B82" s="858"/>
      <c r="C82" s="859"/>
      <c r="D82" s="858"/>
      <c r="E82" s="861" t="s">
        <v>2360</v>
      </c>
      <c r="F82" s="1191"/>
      <c r="G82" s="862"/>
      <c r="H82" s="861"/>
      <c r="I82" s="861"/>
      <c r="J82" s="861"/>
      <c r="K82" s="861"/>
      <c r="L82" s="1192"/>
      <c r="M82" s="861"/>
      <c r="N82" s="863"/>
      <c r="O82" s="863"/>
      <c r="P82" s="861"/>
      <c r="Q82" s="374">
        <f>P83+P86+P88+P90</f>
        <v>6100000</v>
      </c>
      <c r="R82" s="374">
        <v>7532000</v>
      </c>
      <c r="S82" s="374">
        <f>Q82-R82</f>
        <v>-1432000</v>
      </c>
      <c r="T82" s="864">
        <f>S82/R82</f>
        <v>-0.19012214551248008</v>
      </c>
    </row>
    <row r="83" spans="1:20" ht="14.45" customHeight="1">
      <c r="A83" s="857"/>
      <c r="B83" s="858"/>
      <c r="C83" s="859"/>
      <c r="D83" s="858"/>
      <c r="E83" s="859"/>
      <c r="F83" s="1193" t="s">
        <v>175</v>
      </c>
      <c r="G83" s="865"/>
      <c r="H83" s="339"/>
      <c r="I83" s="866"/>
      <c r="J83" s="339"/>
      <c r="K83" s="339"/>
      <c r="L83" s="1216"/>
      <c r="M83" s="339"/>
      <c r="N83" s="866"/>
      <c r="O83" s="866"/>
      <c r="P83" s="867">
        <f>SUM(P84:P85)</f>
        <v>4200000</v>
      </c>
      <c r="Q83" s="388"/>
      <c r="R83" s="868"/>
      <c r="S83" s="388"/>
      <c r="T83" s="1206"/>
    </row>
    <row r="84" spans="1:20" ht="14.45" customHeight="1">
      <c r="A84" s="857"/>
      <c r="B84" s="858"/>
      <c r="C84" s="859"/>
      <c r="D84" s="858"/>
      <c r="E84" s="1200"/>
      <c r="F84" s="1201" t="s">
        <v>176</v>
      </c>
      <c r="G84" s="871">
        <v>200000</v>
      </c>
      <c r="H84" s="339" t="s">
        <v>109</v>
      </c>
      <c r="I84" s="1251">
        <v>1</v>
      </c>
      <c r="J84" s="339" t="s">
        <v>109</v>
      </c>
      <c r="K84" s="1204">
        <v>12</v>
      </c>
      <c r="L84" s="1205"/>
      <c r="M84" s="1204"/>
      <c r="N84" s="866"/>
      <c r="O84" s="866" t="s">
        <v>110</v>
      </c>
      <c r="P84" s="873">
        <f>ROUNDUP(G84*I84*K84,-3)</f>
        <v>2400000</v>
      </c>
      <c r="Q84" s="388"/>
      <c r="R84" s="868"/>
      <c r="S84" s="388"/>
      <c r="T84" s="1206"/>
    </row>
    <row r="85" spans="1:20" ht="14.45" customHeight="1">
      <c r="A85" s="857"/>
      <c r="B85" s="858"/>
      <c r="C85" s="859"/>
      <c r="D85" s="858"/>
      <c r="E85" s="1207"/>
      <c r="F85" s="1208" t="s">
        <v>177</v>
      </c>
      <c r="G85" s="865">
        <v>150000</v>
      </c>
      <c r="H85" s="339" t="s">
        <v>109</v>
      </c>
      <c r="I85" s="1251">
        <v>1</v>
      </c>
      <c r="J85" s="339" t="s">
        <v>109</v>
      </c>
      <c r="K85" s="1204">
        <v>12</v>
      </c>
      <c r="L85" s="1205"/>
      <c r="M85" s="1204"/>
      <c r="N85" s="866"/>
      <c r="O85" s="866" t="s">
        <v>110</v>
      </c>
      <c r="P85" s="873">
        <f>ROUNDUP(G85*I85*K85,-3)</f>
        <v>1800000</v>
      </c>
      <c r="Q85" s="388"/>
      <c r="R85" s="868"/>
      <c r="S85" s="388"/>
      <c r="T85" s="1206"/>
    </row>
    <row r="86" spans="1:20" ht="14.45" customHeight="1">
      <c r="A86" s="857"/>
      <c r="B86" s="858"/>
      <c r="C86" s="859"/>
      <c r="D86" s="858"/>
      <c r="E86" s="859"/>
      <c r="F86" s="1193" t="s">
        <v>178</v>
      </c>
      <c r="G86" s="865"/>
      <c r="H86" s="339"/>
      <c r="I86" s="1252"/>
      <c r="J86" s="339"/>
      <c r="K86" s="339"/>
      <c r="L86" s="1216"/>
      <c r="M86" s="339"/>
      <c r="N86" s="866"/>
      <c r="O86" s="866"/>
      <c r="P86" s="867">
        <f>SUM(P87:P87)</f>
        <v>1000000</v>
      </c>
      <c r="Q86" s="388"/>
      <c r="R86" s="868"/>
      <c r="S86" s="388"/>
      <c r="T86" s="1206"/>
    </row>
    <row r="87" spans="1:20" ht="14.45" customHeight="1">
      <c r="A87" s="857"/>
      <c r="B87" s="858"/>
      <c r="C87" s="859"/>
      <c r="D87" s="858"/>
      <c r="E87" s="1207"/>
      <c r="F87" s="1208" t="s">
        <v>179</v>
      </c>
      <c r="G87" s="871">
        <v>100000</v>
      </c>
      <c r="H87" s="339" t="s">
        <v>109</v>
      </c>
      <c r="I87" s="1251">
        <v>10</v>
      </c>
      <c r="J87" s="339"/>
      <c r="K87" s="1204"/>
      <c r="L87" s="1205"/>
      <c r="M87" s="1204"/>
      <c r="N87" s="866"/>
      <c r="O87" s="866" t="s">
        <v>110</v>
      </c>
      <c r="P87" s="873">
        <f>ROUNDUP(G87*I87,-3)</f>
        <v>1000000</v>
      </c>
      <c r="Q87" s="388"/>
      <c r="R87" s="868"/>
      <c r="S87" s="388"/>
      <c r="T87" s="1206"/>
    </row>
    <row r="88" spans="1:20" ht="14.45" customHeight="1">
      <c r="A88" s="857"/>
      <c r="B88" s="858"/>
      <c r="C88" s="859"/>
      <c r="D88" s="858"/>
      <c r="E88" s="859"/>
      <c r="F88" s="1193" t="s">
        <v>180</v>
      </c>
      <c r="G88" s="865"/>
      <c r="H88" s="339"/>
      <c r="I88" s="1252"/>
      <c r="J88" s="339"/>
      <c r="K88" s="339"/>
      <c r="L88" s="1216"/>
      <c r="M88" s="339"/>
      <c r="N88" s="866"/>
      <c r="O88" s="866"/>
      <c r="P88" s="867">
        <f>SUM(P89:P89)</f>
        <v>300000</v>
      </c>
      <c r="Q88" s="388"/>
      <c r="R88" s="868"/>
      <c r="S88" s="388"/>
      <c r="T88" s="1206"/>
    </row>
    <row r="89" spans="1:20" ht="14.45" customHeight="1">
      <c r="A89" s="857"/>
      <c r="B89" s="858"/>
      <c r="C89" s="859"/>
      <c r="D89" s="858"/>
      <c r="E89" s="1207"/>
      <c r="F89" s="1201" t="s">
        <v>181</v>
      </c>
      <c r="G89" s="1257">
        <v>50000</v>
      </c>
      <c r="H89" s="859" t="s">
        <v>109</v>
      </c>
      <c r="I89" s="1251">
        <v>1</v>
      </c>
      <c r="J89" s="339" t="s">
        <v>109</v>
      </c>
      <c r="K89" s="1204">
        <v>6</v>
      </c>
      <c r="L89" s="1205"/>
      <c r="M89" s="1204"/>
      <c r="N89" s="866"/>
      <c r="O89" s="866" t="s">
        <v>110</v>
      </c>
      <c r="P89" s="873">
        <f>G89*I89*K89</f>
        <v>300000</v>
      </c>
      <c r="Q89" s="388"/>
      <c r="R89" s="868"/>
      <c r="S89" s="388"/>
      <c r="T89" s="1206"/>
    </row>
    <row r="90" spans="1:20" ht="14.45" customHeight="1">
      <c r="A90" s="857"/>
      <c r="B90" s="858"/>
      <c r="C90" s="859"/>
      <c r="D90" s="858"/>
      <c r="E90" s="1258"/>
      <c r="F90" s="1193" t="s">
        <v>182</v>
      </c>
      <c r="G90" s="1194"/>
      <c r="H90" s="859"/>
      <c r="I90" s="1259"/>
      <c r="J90" s="859"/>
      <c r="K90" s="859"/>
      <c r="L90" s="1195"/>
      <c r="M90" s="859"/>
      <c r="N90" s="1196"/>
      <c r="O90" s="1196"/>
      <c r="P90" s="1197">
        <f>SUM(P91:P91)</f>
        <v>600000</v>
      </c>
      <c r="Q90" s="388"/>
      <c r="R90" s="868"/>
      <c r="S90" s="388"/>
      <c r="T90" s="1206"/>
    </row>
    <row r="91" spans="1:20" ht="14.45" customHeight="1">
      <c r="A91" s="857"/>
      <c r="B91" s="858"/>
      <c r="C91" s="859"/>
      <c r="D91" s="858"/>
      <c r="E91" s="1260"/>
      <c r="F91" s="1254" t="s">
        <v>183</v>
      </c>
      <c r="G91" s="1261">
        <v>50000</v>
      </c>
      <c r="H91" s="1222" t="s">
        <v>109</v>
      </c>
      <c r="I91" s="1251">
        <v>1</v>
      </c>
      <c r="J91" s="339" t="s">
        <v>109</v>
      </c>
      <c r="K91" s="1204">
        <v>12</v>
      </c>
      <c r="L91" s="1262"/>
      <c r="M91" s="1263"/>
      <c r="N91" s="1264"/>
      <c r="O91" s="1264" t="s">
        <v>110</v>
      </c>
      <c r="P91" s="1265">
        <f>G91*I91*K91</f>
        <v>600000</v>
      </c>
      <c r="Q91" s="586"/>
      <c r="R91" s="898"/>
      <c r="S91" s="586"/>
      <c r="T91" s="1228"/>
    </row>
    <row r="92" spans="1:20" ht="14.45" customHeight="1">
      <c r="A92" s="857"/>
      <c r="B92" s="858"/>
      <c r="C92" s="859"/>
      <c r="D92" s="858"/>
      <c r="E92" s="861" t="s">
        <v>2361</v>
      </c>
      <c r="F92" s="1191"/>
      <c r="G92" s="862"/>
      <c r="H92" s="861"/>
      <c r="I92" s="861"/>
      <c r="J92" s="861"/>
      <c r="K92" s="861"/>
      <c r="L92" s="1192"/>
      <c r="M92" s="861"/>
      <c r="N92" s="863"/>
      <c r="O92" s="863"/>
      <c r="P92" s="861"/>
      <c r="Q92" s="374">
        <f>P93</f>
        <v>800000</v>
      </c>
      <c r="R92" s="374">
        <v>1500000</v>
      </c>
      <c r="S92" s="374">
        <f>Q92-R92</f>
        <v>-700000</v>
      </c>
      <c r="T92" s="864">
        <f>S92/R92</f>
        <v>-0.46666666666666667</v>
      </c>
    </row>
    <row r="93" spans="1:20" ht="14.45" customHeight="1">
      <c r="A93" s="857"/>
      <c r="B93" s="858"/>
      <c r="C93" s="859"/>
      <c r="D93" s="858"/>
      <c r="E93" s="859"/>
      <c r="F93" s="1193" t="s">
        <v>184</v>
      </c>
      <c r="G93" s="865"/>
      <c r="H93" s="339"/>
      <c r="I93" s="339"/>
      <c r="J93" s="339"/>
      <c r="K93" s="339"/>
      <c r="L93" s="1216"/>
      <c r="M93" s="339"/>
      <c r="N93" s="866"/>
      <c r="O93" s="866"/>
      <c r="P93" s="867">
        <f>SUM(P94:P94)</f>
        <v>800000</v>
      </c>
      <c r="Q93" s="388"/>
      <c r="R93" s="868"/>
      <c r="S93" s="388"/>
      <c r="T93" s="1206"/>
    </row>
    <row r="94" spans="1:20" ht="14.45" customHeight="1">
      <c r="A94" s="857"/>
      <c r="B94" s="858"/>
      <c r="C94" s="859"/>
      <c r="D94" s="858"/>
      <c r="E94" s="1260"/>
      <c r="F94" s="1254" t="s">
        <v>185</v>
      </c>
      <c r="G94" s="893">
        <v>80000</v>
      </c>
      <c r="H94" s="895" t="s">
        <v>109</v>
      </c>
      <c r="I94" s="1225">
        <v>10</v>
      </c>
      <c r="J94" s="895"/>
      <c r="K94" s="1226"/>
      <c r="L94" s="1227"/>
      <c r="M94" s="1226"/>
      <c r="N94" s="896"/>
      <c r="O94" s="896" t="s">
        <v>110</v>
      </c>
      <c r="P94" s="897">
        <f>ROUNDUP(G94*I94,-3)</f>
        <v>800000</v>
      </c>
      <c r="Q94" s="586"/>
      <c r="R94" s="898"/>
      <c r="S94" s="586"/>
      <c r="T94" s="1228"/>
    </row>
    <row r="95" spans="1:20" ht="14.45" customHeight="1">
      <c r="A95" s="857"/>
      <c r="B95" s="858"/>
      <c r="C95" s="859"/>
      <c r="D95" s="858"/>
      <c r="E95" s="1244" t="s">
        <v>186</v>
      </c>
      <c r="F95" s="1245"/>
      <c r="G95" s="1246"/>
      <c r="H95" s="1244"/>
      <c r="I95" s="1244"/>
      <c r="J95" s="1244"/>
      <c r="K95" s="1244"/>
      <c r="L95" s="1247"/>
      <c r="M95" s="1244"/>
      <c r="N95" s="1248"/>
      <c r="O95" s="1248"/>
      <c r="P95" s="1244"/>
      <c r="Q95" s="1249">
        <f>P96+P98</f>
        <v>7320000</v>
      </c>
      <c r="R95" s="1249">
        <v>5300000</v>
      </c>
      <c r="S95" s="1249">
        <f>Q95-R95</f>
        <v>2020000</v>
      </c>
      <c r="T95" s="1250">
        <f>S95/R95</f>
        <v>0.38113207547169814</v>
      </c>
    </row>
    <row r="96" spans="1:20" ht="14.45" customHeight="1">
      <c r="A96" s="857"/>
      <c r="B96" s="858"/>
      <c r="C96" s="859"/>
      <c r="D96" s="858"/>
      <c r="E96" s="859"/>
      <c r="F96" s="1193" t="s">
        <v>187</v>
      </c>
      <c r="G96" s="865"/>
      <c r="H96" s="339"/>
      <c r="I96" s="339"/>
      <c r="J96" s="339"/>
      <c r="K96" s="339"/>
      <c r="L96" s="1216"/>
      <c r="M96" s="339"/>
      <c r="N96" s="866"/>
      <c r="O96" s="866"/>
      <c r="P96" s="867">
        <f>SUM(P97:P97)</f>
        <v>600000</v>
      </c>
      <c r="Q96" s="388"/>
      <c r="R96" s="868"/>
      <c r="S96" s="388"/>
      <c r="T96" s="1206"/>
    </row>
    <row r="97" spans="1:24" ht="14.45" customHeight="1">
      <c r="A97" s="857"/>
      <c r="B97" s="858"/>
      <c r="C97" s="859"/>
      <c r="D97" s="858"/>
      <c r="E97" s="1200"/>
      <c r="F97" s="1201" t="s">
        <v>188</v>
      </c>
      <c r="G97" s="871">
        <v>10000</v>
      </c>
      <c r="H97" s="339" t="s">
        <v>109</v>
      </c>
      <c r="I97" s="1266">
        <v>5</v>
      </c>
      <c r="J97" s="339" t="s">
        <v>109</v>
      </c>
      <c r="K97" s="1204">
        <v>12</v>
      </c>
      <c r="L97" s="1205"/>
      <c r="M97" s="1204"/>
      <c r="N97" s="866"/>
      <c r="O97" s="866" t="s">
        <v>110</v>
      </c>
      <c r="P97" s="873">
        <f>ROUNDUP(G97*I97*K97,-3)</f>
        <v>600000</v>
      </c>
      <c r="Q97" s="388"/>
      <c r="R97" s="868"/>
      <c r="S97" s="388"/>
      <c r="T97" s="1206"/>
    </row>
    <row r="98" spans="1:24" ht="14.45" customHeight="1">
      <c r="A98" s="857"/>
      <c r="B98" s="858"/>
      <c r="C98" s="859"/>
      <c r="D98" s="858"/>
      <c r="E98" s="859"/>
      <c r="F98" s="1193" t="s">
        <v>189</v>
      </c>
      <c r="G98" s="865"/>
      <c r="H98" s="339"/>
      <c r="I98" s="339"/>
      <c r="J98" s="339"/>
      <c r="K98" s="339"/>
      <c r="L98" s="1216"/>
      <c r="M98" s="339"/>
      <c r="N98" s="866"/>
      <c r="O98" s="866"/>
      <c r="P98" s="867">
        <f>SUM(P99:P102)</f>
        <v>6720000</v>
      </c>
      <c r="Q98" s="388"/>
      <c r="R98" s="868"/>
      <c r="S98" s="388"/>
      <c r="T98" s="1206"/>
    </row>
    <row r="99" spans="1:24" ht="14.45" customHeight="1">
      <c r="A99" s="857"/>
      <c r="B99" s="858"/>
      <c r="C99" s="859"/>
      <c r="D99" s="858"/>
      <c r="E99" s="859"/>
      <c r="F99" s="1201" t="s">
        <v>190</v>
      </c>
      <c r="G99" s="871">
        <v>26000</v>
      </c>
      <c r="H99" s="339" t="s">
        <v>109</v>
      </c>
      <c r="I99" s="872">
        <v>4</v>
      </c>
      <c r="J99" s="339" t="s">
        <v>109</v>
      </c>
      <c r="K99" s="1267">
        <v>30</v>
      </c>
      <c r="L99" s="1216"/>
      <c r="M99" s="339"/>
      <c r="N99" s="866"/>
      <c r="O99" s="866" t="s">
        <v>110</v>
      </c>
      <c r="P99" s="1268">
        <f>G99*I99*K99</f>
        <v>3120000</v>
      </c>
      <c r="Q99" s="388"/>
      <c r="R99" s="868"/>
      <c r="S99" s="388"/>
      <c r="T99" s="1206"/>
    </row>
    <row r="100" spans="1:24" ht="14.45" customHeight="1">
      <c r="A100" s="857"/>
      <c r="B100" s="858"/>
      <c r="C100" s="859"/>
      <c r="D100" s="858"/>
      <c r="E100" s="859"/>
      <c r="F100" s="1201" t="s">
        <v>191</v>
      </c>
      <c r="G100" s="865">
        <v>50000</v>
      </c>
      <c r="H100" s="339" t="s">
        <v>109</v>
      </c>
      <c r="I100" s="872">
        <v>2</v>
      </c>
      <c r="J100" s="339" t="s">
        <v>109</v>
      </c>
      <c r="K100" s="1267">
        <v>20</v>
      </c>
      <c r="L100" s="1216"/>
      <c r="M100" s="339"/>
      <c r="N100" s="866"/>
      <c r="O100" s="866" t="s">
        <v>110</v>
      </c>
      <c r="P100" s="1268">
        <f>G100*I100*K100</f>
        <v>2000000</v>
      </c>
      <c r="Q100" s="388"/>
      <c r="R100" s="868"/>
      <c r="S100" s="388"/>
      <c r="T100" s="1206"/>
    </row>
    <row r="101" spans="1:24" ht="14.45" customHeight="1">
      <c r="A101" s="857"/>
      <c r="B101" s="858"/>
      <c r="C101" s="859"/>
      <c r="D101" s="858"/>
      <c r="E101" s="859"/>
      <c r="F101" s="1201" t="s">
        <v>192</v>
      </c>
      <c r="G101" s="865">
        <v>20000</v>
      </c>
      <c r="H101" s="339" t="s">
        <v>109</v>
      </c>
      <c r="I101" s="872">
        <v>1</v>
      </c>
      <c r="J101" s="339" t="s">
        <v>109</v>
      </c>
      <c r="K101" s="1267">
        <v>50</v>
      </c>
      <c r="L101" s="1216"/>
      <c r="M101" s="339"/>
      <c r="N101" s="866"/>
      <c r="O101" s="866" t="s">
        <v>110</v>
      </c>
      <c r="P101" s="1268">
        <f>G101*I101*K101</f>
        <v>1000000</v>
      </c>
      <c r="Q101" s="388"/>
      <c r="R101" s="868"/>
      <c r="S101" s="388"/>
      <c r="T101" s="1206"/>
    </row>
    <row r="102" spans="1:24" ht="14.45" customHeight="1">
      <c r="A102" s="857"/>
      <c r="B102" s="858"/>
      <c r="C102" s="859"/>
      <c r="D102" s="858"/>
      <c r="E102" s="1253"/>
      <c r="F102" s="1254" t="s">
        <v>193</v>
      </c>
      <c r="G102" s="1243">
        <v>600000</v>
      </c>
      <c r="H102" s="895" t="s">
        <v>109</v>
      </c>
      <c r="I102" s="1269">
        <v>1</v>
      </c>
      <c r="J102" s="895"/>
      <c r="K102" s="1226"/>
      <c r="L102" s="1227"/>
      <c r="M102" s="1226"/>
      <c r="N102" s="896"/>
      <c r="O102" s="896" t="s">
        <v>110</v>
      </c>
      <c r="P102" s="897">
        <f>G102*I102</f>
        <v>600000</v>
      </c>
      <c r="Q102" s="586"/>
      <c r="R102" s="898"/>
      <c r="S102" s="586"/>
      <c r="T102" s="1228"/>
    </row>
    <row r="103" spans="1:24" ht="14.45" customHeight="1">
      <c r="A103" s="857"/>
      <c r="B103" s="858"/>
      <c r="C103" s="859"/>
      <c r="D103" s="858"/>
      <c r="E103" s="1244" t="s">
        <v>194</v>
      </c>
      <c r="F103" s="1245"/>
      <c r="G103" s="862"/>
      <c r="H103" s="861"/>
      <c r="I103" s="861"/>
      <c r="J103" s="861"/>
      <c r="K103" s="861"/>
      <c r="L103" s="1192"/>
      <c r="M103" s="861"/>
      <c r="N103" s="863"/>
      <c r="O103" s="863"/>
      <c r="P103" s="861"/>
      <c r="Q103" s="374">
        <f>P104</f>
        <v>20300000</v>
      </c>
      <c r="R103" s="374">
        <v>16700000</v>
      </c>
      <c r="S103" s="374">
        <f>Q103-R103</f>
        <v>3600000</v>
      </c>
      <c r="T103" s="864">
        <f>S103/R103</f>
        <v>0.21556886227544911</v>
      </c>
    </row>
    <row r="104" spans="1:24" ht="14.45" customHeight="1">
      <c r="A104" s="857"/>
      <c r="B104" s="858"/>
      <c r="C104" s="859"/>
      <c r="D104" s="858"/>
      <c r="E104" s="859"/>
      <c r="F104" s="1193" t="s">
        <v>195</v>
      </c>
      <c r="G104" s="865"/>
      <c r="H104" s="339"/>
      <c r="I104" s="339"/>
      <c r="J104" s="339"/>
      <c r="K104" s="339"/>
      <c r="L104" s="1216"/>
      <c r="M104" s="339"/>
      <c r="N104" s="866"/>
      <c r="O104" s="866"/>
      <c r="P104" s="867">
        <f>SUM(P105:P108)</f>
        <v>20300000</v>
      </c>
      <c r="Q104" s="388"/>
      <c r="R104" s="868"/>
      <c r="S104" s="388"/>
      <c r="T104" s="1206"/>
    </row>
    <row r="105" spans="1:24" ht="14.45" customHeight="1">
      <c r="A105" s="857"/>
      <c r="B105" s="858"/>
      <c r="C105" s="859"/>
      <c r="D105" s="858"/>
      <c r="E105" s="1200"/>
      <c r="F105" s="1201" t="s">
        <v>196</v>
      </c>
      <c r="G105" s="871">
        <v>1800000</v>
      </c>
      <c r="H105" s="339" t="s">
        <v>109</v>
      </c>
      <c r="I105" s="1270">
        <v>1</v>
      </c>
      <c r="J105" s="339"/>
      <c r="K105" s="1204"/>
      <c r="L105" s="1205"/>
      <c r="M105" s="1204"/>
      <c r="N105" s="866"/>
      <c r="O105" s="866" t="s">
        <v>110</v>
      </c>
      <c r="P105" s="873">
        <f>G105*I105</f>
        <v>1800000</v>
      </c>
      <c r="Q105" s="388"/>
      <c r="R105" s="868"/>
      <c r="S105" s="388"/>
      <c r="T105" s="1206"/>
    </row>
    <row r="106" spans="1:24" ht="14.45" customHeight="1">
      <c r="A106" s="857"/>
      <c r="B106" s="858"/>
      <c r="C106" s="859"/>
      <c r="D106" s="858"/>
      <c r="E106" s="1207"/>
      <c r="F106" s="1208" t="s">
        <v>197</v>
      </c>
      <c r="G106" s="865">
        <v>4700000</v>
      </c>
      <c r="H106" s="339" t="s">
        <v>109</v>
      </c>
      <c r="I106" s="1270">
        <v>1</v>
      </c>
      <c r="J106" s="339"/>
      <c r="K106" s="1204"/>
      <c r="L106" s="1205"/>
      <c r="M106" s="1204"/>
      <c r="N106" s="866"/>
      <c r="O106" s="866" t="s">
        <v>110</v>
      </c>
      <c r="P106" s="873">
        <f>G106*I106</f>
        <v>4700000</v>
      </c>
      <c r="Q106" s="388"/>
      <c r="R106" s="868"/>
      <c r="S106" s="388"/>
      <c r="T106" s="1206"/>
    </row>
    <row r="107" spans="1:24" ht="14.45" customHeight="1">
      <c r="A107" s="857"/>
      <c r="B107" s="858"/>
      <c r="C107" s="859"/>
      <c r="D107" s="858"/>
      <c r="E107" s="1207"/>
      <c r="F107" s="1208" t="s">
        <v>198</v>
      </c>
      <c r="G107" s="865">
        <v>750000</v>
      </c>
      <c r="H107" s="339" t="s">
        <v>109</v>
      </c>
      <c r="I107" s="872">
        <v>1</v>
      </c>
      <c r="J107" s="339" t="s">
        <v>109</v>
      </c>
      <c r="K107" s="1204">
        <v>12</v>
      </c>
      <c r="L107" s="1205"/>
      <c r="M107" s="1204"/>
      <c r="N107" s="866"/>
      <c r="O107" s="866" t="s">
        <v>110</v>
      </c>
      <c r="P107" s="873">
        <f>G107*I107*K107</f>
        <v>9000000</v>
      </c>
      <c r="Q107" s="388"/>
      <c r="R107" s="868"/>
      <c r="S107" s="388"/>
      <c r="T107" s="1206"/>
    </row>
    <row r="108" spans="1:24" ht="14.45" customHeight="1">
      <c r="A108" s="857"/>
      <c r="B108" s="858"/>
      <c r="C108" s="859"/>
      <c r="D108" s="858"/>
      <c r="E108" s="1207"/>
      <c r="F108" s="1208" t="s">
        <v>199</v>
      </c>
      <c r="G108" s="865">
        <v>400000</v>
      </c>
      <c r="H108" s="339" t="s">
        <v>109</v>
      </c>
      <c r="I108" s="872">
        <v>1</v>
      </c>
      <c r="J108" s="339" t="s">
        <v>109</v>
      </c>
      <c r="K108" s="1204">
        <v>12</v>
      </c>
      <c r="L108" s="1205"/>
      <c r="M108" s="1204"/>
      <c r="N108" s="866"/>
      <c r="O108" s="866" t="s">
        <v>110</v>
      </c>
      <c r="P108" s="873">
        <f>G108*I108*K108</f>
        <v>4800000</v>
      </c>
      <c r="Q108" s="388"/>
      <c r="R108" s="868"/>
      <c r="S108" s="388"/>
      <c r="T108" s="1206"/>
    </row>
    <row r="109" spans="1:24" ht="14.45" customHeight="1">
      <c r="A109" s="857"/>
      <c r="B109" s="858"/>
      <c r="C109" s="859"/>
      <c r="D109" s="858"/>
      <c r="E109" s="861" t="s">
        <v>200</v>
      </c>
      <c r="F109" s="1191"/>
      <c r="G109" s="862"/>
      <c r="H109" s="861"/>
      <c r="I109" s="861"/>
      <c r="J109" s="861"/>
      <c r="K109" s="861"/>
      <c r="L109" s="1192"/>
      <c r="M109" s="861"/>
      <c r="N109" s="863"/>
      <c r="O109" s="863"/>
      <c r="P109" s="861"/>
      <c r="Q109" s="374">
        <f>P110</f>
        <v>6500000</v>
      </c>
      <c r="R109" s="374">
        <v>500000</v>
      </c>
      <c r="S109" s="374">
        <f>Q109-R109</f>
        <v>6000000</v>
      </c>
      <c r="T109" s="864">
        <f>S109/R109</f>
        <v>12</v>
      </c>
    </row>
    <row r="110" spans="1:24" ht="14.45" customHeight="1">
      <c r="A110" s="857"/>
      <c r="B110" s="858"/>
      <c r="C110" s="859"/>
      <c r="D110" s="858"/>
      <c r="E110" s="859"/>
      <c r="F110" s="1193" t="s">
        <v>201</v>
      </c>
      <c r="G110" s="865"/>
      <c r="H110" s="339"/>
      <c r="I110" s="339"/>
      <c r="J110" s="339"/>
      <c r="K110" s="339"/>
      <c r="L110" s="1216"/>
      <c r="M110" s="339"/>
      <c r="N110" s="866"/>
      <c r="O110" s="866"/>
      <c r="P110" s="867">
        <f>SUM(P111:P112)</f>
        <v>6500000</v>
      </c>
      <c r="Q110" s="388"/>
      <c r="R110" s="868"/>
      <c r="S110" s="388"/>
      <c r="T110" s="1206"/>
      <c r="X110" s="891"/>
    </row>
    <row r="111" spans="1:24" ht="14.45" customHeight="1">
      <c r="A111" s="857"/>
      <c r="B111" s="858"/>
      <c r="C111" s="859"/>
      <c r="D111" s="858"/>
      <c r="E111" s="1200"/>
      <c r="F111" s="1201" t="s">
        <v>558</v>
      </c>
      <c r="G111" s="871">
        <v>125000</v>
      </c>
      <c r="H111" s="339" t="s">
        <v>109</v>
      </c>
      <c r="I111" s="1816">
        <v>4</v>
      </c>
      <c r="J111" s="339"/>
      <c r="K111" s="1204"/>
      <c r="L111" s="1205"/>
      <c r="M111" s="1204"/>
      <c r="N111" s="866"/>
      <c r="O111" s="866" t="s">
        <v>110</v>
      </c>
      <c r="P111" s="873">
        <f>ROUNDUP(G111*I111,-3)</f>
        <v>500000</v>
      </c>
      <c r="Q111" s="388"/>
      <c r="R111" s="868"/>
      <c r="S111" s="388"/>
      <c r="T111" s="1206"/>
    </row>
    <row r="112" spans="1:24" ht="14.45" customHeight="1">
      <c r="A112" s="857"/>
      <c r="B112" s="858"/>
      <c r="C112" s="859"/>
      <c r="D112" s="858"/>
      <c r="E112" s="1200"/>
      <c r="F112" s="1201" t="s">
        <v>202</v>
      </c>
      <c r="G112" s="871">
        <v>500000</v>
      </c>
      <c r="H112" s="339" t="s">
        <v>109</v>
      </c>
      <c r="I112" s="872">
        <v>1</v>
      </c>
      <c r="J112" s="339" t="s">
        <v>109</v>
      </c>
      <c r="K112" s="1204">
        <v>12</v>
      </c>
      <c r="L112" s="1205"/>
      <c r="M112" s="1204"/>
      <c r="N112" s="866"/>
      <c r="O112" s="866" t="s">
        <v>110</v>
      </c>
      <c r="P112" s="873">
        <f>G112*I112*K112</f>
        <v>6000000</v>
      </c>
      <c r="Q112" s="388"/>
      <c r="R112" s="868"/>
      <c r="S112" s="388"/>
      <c r="T112" s="1206"/>
    </row>
    <row r="113" spans="1:22" ht="14.45" customHeight="1">
      <c r="A113" s="857"/>
      <c r="B113" s="858"/>
      <c r="C113" s="859"/>
      <c r="D113" s="858"/>
      <c r="E113" s="861" t="s">
        <v>203</v>
      </c>
      <c r="F113" s="1191"/>
      <c r="G113" s="862"/>
      <c r="H113" s="861"/>
      <c r="I113" s="861"/>
      <c r="J113" s="861"/>
      <c r="K113" s="861"/>
      <c r="L113" s="1192"/>
      <c r="M113" s="861"/>
      <c r="N113" s="863"/>
      <c r="O113" s="863"/>
      <c r="P113" s="861"/>
      <c r="Q113" s="374">
        <f>P114</f>
        <v>1800000</v>
      </c>
      <c r="R113" s="374">
        <v>6000000</v>
      </c>
      <c r="S113" s="374">
        <f>Q113-R113</f>
        <v>-4200000</v>
      </c>
      <c r="T113" s="864">
        <f>S113/R113</f>
        <v>-0.7</v>
      </c>
    </row>
    <row r="114" spans="1:22" ht="14.45" customHeight="1">
      <c r="A114" s="857"/>
      <c r="B114" s="858"/>
      <c r="C114" s="859"/>
      <c r="D114" s="858"/>
      <c r="E114" s="859"/>
      <c r="F114" s="1193" t="s">
        <v>204</v>
      </c>
      <c r="G114" s="865"/>
      <c r="H114" s="339"/>
      <c r="I114" s="339"/>
      <c r="J114" s="339"/>
      <c r="K114" s="339"/>
      <c r="L114" s="1216"/>
      <c r="M114" s="339"/>
      <c r="N114" s="866"/>
      <c r="O114" s="866"/>
      <c r="P114" s="867">
        <f>SUM(P115:P115)</f>
        <v>1800000</v>
      </c>
      <c r="Q114" s="388"/>
      <c r="R114" s="868"/>
      <c r="S114" s="388"/>
      <c r="T114" s="1206"/>
    </row>
    <row r="115" spans="1:22" ht="14.45" customHeight="1">
      <c r="A115" s="1221"/>
      <c r="B115" s="870"/>
      <c r="C115" s="1222"/>
      <c r="D115" s="870"/>
      <c r="E115" s="1253"/>
      <c r="F115" s="1254" t="s">
        <v>205</v>
      </c>
      <c r="G115" s="893">
        <v>150000</v>
      </c>
      <c r="H115" s="895" t="s">
        <v>109</v>
      </c>
      <c r="I115" s="1271">
        <v>1</v>
      </c>
      <c r="J115" s="895" t="s">
        <v>109</v>
      </c>
      <c r="K115" s="1226">
        <v>12</v>
      </c>
      <c r="L115" s="1227"/>
      <c r="M115" s="1226"/>
      <c r="N115" s="896"/>
      <c r="O115" s="896" t="s">
        <v>110</v>
      </c>
      <c r="P115" s="897">
        <f>G115*I115*K115</f>
        <v>1800000</v>
      </c>
      <c r="Q115" s="586"/>
      <c r="R115" s="898"/>
      <c r="S115" s="586"/>
      <c r="T115" s="1228"/>
    </row>
    <row r="116" spans="1:22" ht="14.45" customHeight="1">
      <c r="A116" s="1272"/>
      <c r="B116" s="860"/>
      <c r="C116" s="1273"/>
      <c r="D116" s="860"/>
      <c r="E116" s="861" t="s">
        <v>206</v>
      </c>
      <c r="F116" s="1191"/>
      <c r="G116" s="862"/>
      <c r="H116" s="861"/>
      <c r="I116" s="861"/>
      <c r="J116" s="861"/>
      <c r="K116" s="861"/>
      <c r="L116" s="1192"/>
      <c r="M116" s="861"/>
      <c r="N116" s="863"/>
      <c r="O116" s="863"/>
      <c r="P116" s="861"/>
      <c r="Q116" s="374">
        <f>P117</f>
        <v>450000</v>
      </c>
      <c r="R116" s="374">
        <v>550000</v>
      </c>
      <c r="S116" s="374">
        <f>Q116-R116</f>
        <v>-100000</v>
      </c>
      <c r="T116" s="864">
        <f>S116/R116</f>
        <v>-0.18181818181818182</v>
      </c>
    </row>
    <row r="117" spans="1:22" ht="14.45" customHeight="1">
      <c r="A117" s="857"/>
      <c r="B117" s="858"/>
      <c r="C117" s="859"/>
      <c r="D117" s="858"/>
      <c r="E117" s="1273"/>
      <c r="F117" s="1274" t="s">
        <v>207</v>
      </c>
      <c r="G117" s="1275"/>
      <c r="H117" s="1276"/>
      <c r="I117" s="1276"/>
      <c r="J117" s="1276"/>
      <c r="K117" s="1276"/>
      <c r="L117" s="1277"/>
      <c r="M117" s="1276"/>
      <c r="N117" s="1278"/>
      <c r="O117" s="1278"/>
      <c r="P117" s="1279">
        <f>SUM(P118:P119)</f>
        <v>450000</v>
      </c>
      <c r="Q117" s="382"/>
      <c r="R117" s="1280"/>
      <c r="S117" s="382"/>
      <c r="T117" s="1281"/>
    </row>
    <row r="118" spans="1:22" ht="14.45" customHeight="1">
      <c r="A118" s="857"/>
      <c r="B118" s="858"/>
      <c r="C118" s="859"/>
      <c r="D118" s="858"/>
      <c r="E118" s="1200"/>
      <c r="F118" s="1201" t="s">
        <v>208</v>
      </c>
      <c r="G118" s="871">
        <v>150000</v>
      </c>
      <c r="H118" s="339" t="s">
        <v>109</v>
      </c>
      <c r="I118" s="872">
        <v>1</v>
      </c>
      <c r="J118" s="339"/>
      <c r="K118" s="1204"/>
      <c r="L118" s="1205"/>
      <c r="M118" s="1204"/>
      <c r="N118" s="866"/>
      <c r="O118" s="866" t="s">
        <v>110</v>
      </c>
      <c r="P118" s="873">
        <f>G118*I118</f>
        <v>150000</v>
      </c>
      <c r="Q118" s="388"/>
      <c r="R118" s="868"/>
      <c r="S118" s="388"/>
      <c r="T118" s="1206"/>
    </row>
    <row r="119" spans="1:22" ht="14.45" customHeight="1">
      <c r="A119" s="857"/>
      <c r="B119" s="858"/>
      <c r="C119" s="859"/>
      <c r="D119" s="858"/>
      <c r="E119" s="1207"/>
      <c r="F119" s="1208" t="s">
        <v>209</v>
      </c>
      <c r="G119" s="865">
        <v>300000</v>
      </c>
      <c r="H119" s="339" t="s">
        <v>109</v>
      </c>
      <c r="I119" s="872">
        <v>1</v>
      </c>
      <c r="J119" s="339"/>
      <c r="K119" s="1204"/>
      <c r="L119" s="1205"/>
      <c r="M119" s="1204"/>
      <c r="N119" s="866"/>
      <c r="O119" s="866" t="s">
        <v>110</v>
      </c>
      <c r="P119" s="873">
        <f>G119*I119</f>
        <v>300000</v>
      </c>
      <c r="Q119" s="388"/>
      <c r="R119" s="868"/>
      <c r="S119" s="388"/>
      <c r="T119" s="1206"/>
    </row>
    <row r="120" spans="1:22" ht="14.45" customHeight="1">
      <c r="A120" s="857"/>
      <c r="B120" s="858"/>
      <c r="C120" s="859"/>
      <c r="D120" s="858"/>
      <c r="E120" s="861" t="s">
        <v>210</v>
      </c>
      <c r="F120" s="1191"/>
      <c r="G120" s="862"/>
      <c r="H120" s="861"/>
      <c r="I120" s="861"/>
      <c r="J120" s="861"/>
      <c r="K120" s="861"/>
      <c r="L120" s="1192"/>
      <c r="M120" s="861"/>
      <c r="N120" s="863"/>
      <c r="O120" s="863"/>
      <c r="P120" s="861"/>
      <c r="Q120" s="374">
        <f>P121+P124+P127+P131</f>
        <v>27070000</v>
      </c>
      <c r="R120" s="374">
        <v>15782000</v>
      </c>
      <c r="S120" s="374">
        <f>Q120-R120</f>
        <v>11288000</v>
      </c>
      <c r="T120" s="864">
        <f>S120/R120</f>
        <v>0.71524521606893932</v>
      </c>
    </row>
    <row r="121" spans="1:22" ht="14.45" customHeight="1">
      <c r="A121" s="857"/>
      <c r="B121" s="858"/>
      <c r="C121" s="859"/>
      <c r="D121" s="858"/>
      <c r="E121" s="859"/>
      <c r="F121" s="1193" t="s">
        <v>211</v>
      </c>
      <c r="G121" s="865"/>
      <c r="H121" s="339"/>
      <c r="I121" s="339"/>
      <c r="J121" s="339"/>
      <c r="K121" s="339"/>
      <c r="L121" s="1216"/>
      <c r="M121" s="339"/>
      <c r="N121" s="866"/>
      <c r="O121" s="866"/>
      <c r="P121" s="867">
        <f>SUM(P122:P123)</f>
        <v>18600000</v>
      </c>
      <c r="Q121" s="388"/>
      <c r="R121" s="868"/>
      <c r="S121" s="388"/>
      <c r="T121" s="1206"/>
    </row>
    <row r="122" spans="1:22" ht="14.45" customHeight="1">
      <c r="A122" s="857"/>
      <c r="B122" s="858"/>
      <c r="C122" s="859"/>
      <c r="D122" s="858"/>
      <c r="E122" s="859"/>
      <c r="F122" s="1201" t="s">
        <v>212</v>
      </c>
      <c r="G122" s="865">
        <v>3750000</v>
      </c>
      <c r="H122" s="339" t="s">
        <v>109</v>
      </c>
      <c r="I122" s="1282">
        <v>4</v>
      </c>
      <c r="J122" s="339"/>
      <c r="K122" s="339"/>
      <c r="L122" s="1216"/>
      <c r="M122" s="339"/>
      <c r="N122" s="866"/>
      <c r="O122" s="866" t="s">
        <v>110</v>
      </c>
      <c r="P122" s="1268">
        <f>G122*I122</f>
        <v>15000000</v>
      </c>
      <c r="Q122" s="388"/>
      <c r="R122" s="868"/>
      <c r="S122" s="388"/>
      <c r="T122" s="1206"/>
      <c r="V122" s="891"/>
    </row>
    <row r="123" spans="1:22" ht="14.45" customHeight="1">
      <c r="A123" s="857"/>
      <c r="B123" s="858"/>
      <c r="C123" s="859"/>
      <c r="D123" s="858"/>
      <c r="E123" s="859"/>
      <c r="F123" s="1201" t="s">
        <v>213</v>
      </c>
      <c r="G123" s="865">
        <v>300000</v>
      </c>
      <c r="H123" s="339" t="s">
        <v>109</v>
      </c>
      <c r="I123" s="872">
        <v>1</v>
      </c>
      <c r="J123" s="339" t="s">
        <v>109</v>
      </c>
      <c r="K123" s="1204">
        <v>12</v>
      </c>
      <c r="L123" s="1216"/>
      <c r="M123" s="339"/>
      <c r="N123" s="866"/>
      <c r="O123" s="866" t="s">
        <v>110</v>
      </c>
      <c r="P123" s="1268">
        <f>G123*I123*K123</f>
        <v>3600000</v>
      </c>
      <c r="Q123" s="388"/>
      <c r="R123" s="868"/>
      <c r="S123" s="388"/>
      <c r="T123" s="1206"/>
    </row>
    <row r="124" spans="1:22" ht="14.45" customHeight="1">
      <c r="A124" s="857"/>
      <c r="B124" s="858"/>
      <c r="C124" s="859"/>
      <c r="D124" s="858"/>
      <c r="E124" s="859"/>
      <c r="F124" s="1193" t="s">
        <v>214</v>
      </c>
      <c r="G124" s="865"/>
      <c r="H124" s="339"/>
      <c r="I124" s="339"/>
      <c r="J124" s="339"/>
      <c r="K124" s="339"/>
      <c r="L124" s="1216"/>
      <c r="M124" s="339"/>
      <c r="N124" s="866"/>
      <c r="O124" s="866"/>
      <c r="P124" s="867">
        <f>SUM(P125:P126)</f>
        <v>1620000</v>
      </c>
      <c r="Q124" s="388"/>
      <c r="R124" s="868"/>
      <c r="S124" s="388"/>
      <c r="T124" s="1206"/>
    </row>
    <row r="125" spans="1:22" ht="14.45" customHeight="1">
      <c r="A125" s="857"/>
      <c r="B125" s="858"/>
      <c r="C125" s="859"/>
      <c r="D125" s="858"/>
      <c r="E125" s="859"/>
      <c r="F125" s="1201" t="s">
        <v>215</v>
      </c>
      <c r="G125" s="865">
        <v>110000</v>
      </c>
      <c r="H125" s="339" t="s">
        <v>109</v>
      </c>
      <c r="I125" s="872">
        <v>1</v>
      </c>
      <c r="J125" s="339" t="s">
        <v>109</v>
      </c>
      <c r="K125" s="1204">
        <v>12</v>
      </c>
      <c r="L125" s="1216"/>
      <c r="M125" s="339"/>
      <c r="N125" s="866"/>
      <c r="O125" s="866" t="s">
        <v>110</v>
      </c>
      <c r="P125" s="1268">
        <f>G125*I125*K125</f>
        <v>1320000</v>
      </c>
      <c r="Q125" s="388"/>
      <c r="R125" s="868"/>
      <c r="S125" s="388"/>
      <c r="T125" s="1206"/>
    </row>
    <row r="126" spans="1:22" ht="14.45" customHeight="1">
      <c r="A126" s="857"/>
      <c r="B126" s="858"/>
      <c r="C126" s="859"/>
      <c r="D126" s="858"/>
      <c r="E126" s="859"/>
      <c r="F126" s="1201" t="s">
        <v>216</v>
      </c>
      <c r="G126" s="865">
        <v>300000</v>
      </c>
      <c r="H126" s="339" t="s">
        <v>109</v>
      </c>
      <c r="I126" s="894">
        <v>1</v>
      </c>
      <c r="J126" s="339"/>
      <c r="K126" s="339"/>
      <c r="L126" s="1216"/>
      <c r="M126" s="339"/>
      <c r="N126" s="866"/>
      <c r="O126" s="866" t="s">
        <v>110</v>
      </c>
      <c r="P126" s="1268">
        <f>G126*I126</f>
        <v>300000</v>
      </c>
      <c r="Q126" s="388"/>
      <c r="R126" s="868"/>
      <c r="S126" s="388"/>
      <c r="T126" s="1206"/>
    </row>
    <row r="127" spans="1:22" ht="14.45" customHeight="1">
      <c r="A127" s="857"/>
      <c r="B127" s="858"/>
      <c r="C127" s="859"/>
      <c r="D127" s="858"/>
      <c r="E127" s="859"/>
      <c r="F127" s="1193" t="s">
        <v>217</v>
      </c>
      <c r="G127" s="865"/>
      <c r="H127" s="339"/>
      <c r="I127" s="339"/>
      <c r="J127" s="339"/>
      <c r="K127" s="339"/>
      <c r="L127" s="1216"/>
      <c r="M127" s="339"/>
      <c r="N127" s="866"/>
      <c r="O127" s="866"/>
      <c r="P127" s="867">
        <f>SUM(P128:P130)</f>
        <v>1850000</v>
      </c>
      <c r="Q127" s="388"/>
      <c r="R127" s="868"/>
      <c r="S127" s="388"/>
      <c r="T127" s="1206"/>
    </row>
    <row r="128" spans="1:22" ht="14.45" customHeight="1">
      <c r="A128" s="857"/>
      <c r="B128" s="858"/>
      <c r="C128" s="859"/>
      <c r="D128" s="858"/>
      <c r="E128" s="859"/>
      <c r="F128" s="1201" t="s">
        <v>218</v>
      </c>
      <c r="G128" s="865">
        <v>100000</v>
      </c>
      <c r="H128" s="339" t="s">
        <v>109</v>
      </c>
      <c r="I128" s="1282">
        <v>4</v>
      </c>
      <c r="J128" s="339"/>
      <c r="K128" s="339"/>
      <c r="L128" s="1216"/>
      <c r="M128" s="339"/>
      <c r="N128" s="866"/>
      <c r="O128" s="866" t="s">
        <v>110</v>
      </c>
      <c r="P128" s="1268">
        <f>G128*I128</f>
        <v>400000</v>
      </c>
      <c r="Q128" s="388"/>
      <c r="R128" s="868"/>
      <c r="S128" s="388"/>
      <c r="T128" s="1206"/>
    </row>
    <row r="129" spans="1:20" ht="14.45" customHeight="1">
      <c r="A129" s="857"/>
      <c r="B129" s="858"/>
      <c r="C129" s="859"/>
      <c r="D129" s="858"/>
      <c r="E129" s="859"/>
      <c r="F129" s="1201" t="s">
        <v>219</v>
      </c>
      <c r="G129" s="865">
        <v>20000</v>
      </c>
      <c r="H129" s="339" t="s">
        <v>109</v>
      </c>
      <c r="I129" s="872">
        <v>6</v>
      </c>
      <c r="J129" s="339" t="s">
        <v>109</v>
      </c>
      <c r="K129" s="1204">
        <v>12</v>
      </c>
      <c r="L129" s="1216"/>
      <c r="M129" s="339"/>
      <c r="N129" s="866"/>
      <c r="O129" s="866" t="s">
        <v>110</v>
      </c>
      <c r="P129" s="1268">
        <f>G129*I129*K129</f>
        <v>1440000</v>
      </c>
      <c r="Q129" s="388"/>
      <c r="R129" s="868"/>
      <c r="S129" s="388"/>
      <c r="T129" s="1206"/>
    </row>
    <row r="130" spans="1:20" ht="14.45" customHeight="1">
      <c r="A130" s="857"/>
      <c r="B130" s="858"/>
      <c r="C130" s="859"/>
      <c r="D130" s="858"/>
      <c r="E130" s="859"/>
      <c r="F130" s="1201" t="s">
        <v>220</v>
      </c>
      <c r="G130" s="865">
        <v>5000</v>
      </c>
      <c r="H130" s="339" t="s">
        <v>109</v>
      </c>
      <c r="I130" s="872">
        <v>2</v>
      </c>
      <c r="J130" s="339"/>
      <c r="K130" s="339"/>
      <c r="L130" s="1216"/>
      <c r="M130" s="339"/>
      <c r="N130" s="866"/>
      <c r="O130" s="866" t="s">
        <v>110</v>
      </c>
      <c r="P130" s="1268">
        <f>G130*I130</f>
        <v>10000</v>
      </c>
      <c r="Q130" s="388"/>
      <c r="R130" s="868"/>
      <c r="S130" s="388"/>
      <c r="T130" s="1206"/>
    </row>
    <row r="131" spans="1:20" ht="14.45" customHeight="1">
      <c r="A131" s="857"/>
      <c r="B131" s="858"/>
      <c r="C131" s="859"/>
      <c r="D131" s="858"/>
      <c r="E131" s="859"/>
      <c r="F131" s="1193" t="s">
        <v>221</v>
      </c>
      <c r="G131" s="865"/>
      <c r="H131" s="339"/>
      <c r="I131" s="339"/>
      <c r="J131" s="339"/>
      <c r="K131" s="339"/>
      <c r="L131" s="1216"/>
      <c r="M131" s="339"/>
      <c r="N131" s="866"/>
      <c r="O131" s="866"/>
      <c r="P131" s="867">
        <f>SUM(P132:P132)</f>
        <v>5000000</v>
      </c>
      <c r="Q131" s="388"/>
      <c r="R131" s="868"/>
      <c r="S131" s="388"/>
      <c r="T131" s="1206"/>
    </row>
    <row r="132" spans="1:20" ht="14.45" customHeight="1">
      <c r="A132" s="857"/>
      <c r="B132" s="858"/>
      <c r="C132" s="859"/>
      <c r="D132" s="858"/>
      <c r="E132" s="859"/>
      <c r="F132" s="1201" t="s">
        <v>222</v>
      </c>
      <c r="G132" s="865">
        <v>5000000</v>
      </c>
      <c r="H132" s="339" t="s">
        <v>109</v>
      </c>
      <c r="I132" s="894">
        <v>1</v>
      </c>
      <c r="J132" s="339"/>
      <c r="K132" s="1204"/>
      <c r="L132" s="1216"/>
      <c r="M132" s="339"/>
      <c r="N132" s="866"/>
      <c r="O132" s="866" t="s">
        <v>110</v>
      </c>
      <c r="P132" s="1268">
        <f>G132*I132</f>
        <v>5000000</v>
      </c>
      <c r="Q132" s="388"/>
      <c r="R132" s="868"/>
      <c r="S132" s="388"/>
      <c r="T132" s="1206"/>
    </row>
    <row r="133" spans="1:20" ht="14.45" customHeight="1">
      <c r="A133" s="857"/>
      <c r="B133" s="858"/>
      <c r="C133" s="859"/>
      <c r="D133" s="858"/>
      <c r="E133" s="861" t="s">
        <v>223</v>
      </c>
      <c r="F133" s="1191"/>
      <c r="G133" s="862"/>
      <c r="H133" s="861"/>
      <c r="I133" s="861"/>
      <c r="J133" s="861"/>
      <c r="K133" s="861"/>
      <c r="L133" s="1192"/>
      <c r="M133" s="861"/>
      <c r="N133" s="863"/>
      <c r="O133" s="863"/>
      <c r="P133" s="861"/>
      <c r="Q133" s="374">
        <f>P134+P137</f>
        <v>21600000</v>
      </c>
      <c r="R133" s="374">
        <v>15900000</v>
      </c>
      <c r="S133" s="374">
        <f>Q133-R133</f>
        <v>5700000</v>
      </c>
      <c r="T133" s="864">
        <f>S133/R133</f>
        <v>0.35849056603773582</v>
      </c>
    </row>
    <row r="134" spans="1:20" ht="14.45" customHeight="1">
      <c r="A134" s="857"/>
      <c r="B134" s="858"/>
      <c r="C134" s="859"/>
      <c r="D134" s="858"/>
      <c r="E134" s="859"/>
      <c r="F134" s="1193" t="s">
        <v>224</v>
      </c>
      <c r="G134" s="865"/>
      <c r="H134" s="339"/>
      <c r="I134" s="339"/>
      <c r="J134" s="339"/>
      <c r="K134" s="339"/>
      <c r="L134" s="1216"/>
      <c r="M134" s="339"/>
      <c r="N134" s="866"/>
      <c r="O134" s="866"/>
      <c r="P134" s="867">
        <f>SUM(P135:P136)</f>
        <v>18000000</v>
      </c>
      <c r="Q134" s="388"/>
      <c r="R134" s="868"/>
      <c r="S134" s="388"/>
      <c r="T134" s="1206"/>
    </row>
    <row r="135" spans="1:20" ht="14.45" customHeight="1">
      <c r="A135" s="857"/>
      <c r="B135" s="858"/>
      <c r="C135" s="859"/>
      <c r="D135" s="858"/>
      <c r="E135" s="859"/>
      <c r="F135" s="1201" t="s">
        <v>225</v>
      </c>
      <c r="G135" s="871">
        <v>1000000</v>
      </c>
      <c r="H135" s="339" t="s">
        <v>109</v>
      </c>
      <c r="I135" s="1203">
        <v>1</v>
      </c>
      <c r="J135" s="339" t="s">
        <v>109</v>
      </c>
      <c r="K135" s="1204">
        <v>12</v>
      </c>
      <c r="L135" s="1216"/>
      <c r="M135" s="339"/>
      <c r="N135" s="866"/>
      <c r="O135" s="866" t="s">
        <v>110</v>
      </c>
      <c r="P135" s="1268">
        <f>G135*I135*K135</f>
        <v>12000000</v>
      </c>
      <c r="Q135" s="388"/>
      <c r="R135" s="868"/>
      <c r="S135" s="388"/>
      <c r="T135" s="1206"/>
    </row>
    <row r="136" spans="1:20" ht="14.45" customHeight="1">
      <c r="A136" s="857"/>
      <c r="B136" s="858"/>
      <c r="C136" s="859"/>
      <c r="D136" s="858"/>
      <c r="E136" s="1200"/>
      <c r="F136" s="1201" t="s">
        <v>226</v>
      </c>
      <c r="G136" s="865">
        <v>500000</v>
      </c>
      <c r="H136" s="339" t="s">
        <v>109</v>
      </c>
      <c r="I136" s="1203">
        <v>1</v>
      </c>
      <c r="J136" s="339" t="s">
        <v>109</v>
      </c>
      <c r="K136" s="1204">
        <v>12</v>
      </c>
      <c r="L136" s="1205"/>
      <c r="M136" s="1204"/>
      <c r="N136" s="866"/>
      <c r="O136" s="866" t="s">
        <v>110</v>
      </c>
      <c r="P136" s="1268">
        <f>G136*I136*K136</f>
        <v>6000000</v>
      </c>
      <c r="Q136" s="388"/>
      <c r="R136" s="868"/>
      <c r="S136" s="388"/>
      <c r="T136" s="1206"/>
    </row>
    <row r="137" spans="1:20" ht="14.45" customHeight="1">
      <c r="A137" s="857"/>
      <c r="B137" s="858"/>
      <c r="C137" s="859"/>
      <c r="D137" s="858"/>
      <c r="E137" s="859"/>
      <c r="F137" s="1193" t="s">
        <v>227</v>
      </c>
      <c r="G137" s="865"/>
      <c r="H137" s="339"/>
      <c r="I137" s="339"/>
      <c r="J137" s="339"/>
      <c r="K137" s="339"/>
      <c r="L137" s="1216"/>
      <c r="M137" s="339"/>
      <c r="N137" s="866"/>
      <c r="O137" s="866"/>
      <c r="P137" s="867">
        <f>SUM(P138:P139)</f>
        <v>3600000</v>
      </c>
      <c r="Q137" s="388"/>
      <c r="R137" s="868"/>
      <c r="S137" s="388"/>
      <c r="T137" s="1206"/>
    </row>
    <row r="138" spans="1:20" ht="14.45" customHeight="1">
      <c r="A138" s="857"/>
      <c r="B138" s="858"/>
      <c r="C138" s="859"/>
      <c r="D138" s="858"/>
      <c r="E138" s="1200"/>
      <c r="F138" s="1201" t="s">
        <v>228</v>
      </c>
      <c r="G138" s="871">
        <v>150000</v>
      </c>
      <c r="H138" s="339" t="s">
        <v>109</v>
      </c>
      <c r="I138" s="1283">
        <v>1</v>
      </c>
      <c r="J138" s="339" t="s">
        <v>109</v>
      </c>
      <c r="K138" s="1204">
        <v>12</v>
      </c>
      <c r="L138" s="1205"/>
      <c r="M138" s="1204"/>
      <c r="N138" s="866"/>
      <c r="O138" s="866" t="s">
        <v>110</v>
      </c>
      <c r="P138" s="873">
        <f>G138*I138*K138</f>
        <v>1800000</v>
      </c>
      <c r="Q138" s="388"/>
      <c r="R138" s="868"/>
      <c r="S138" s="388"/>
      <c r="T138" s="1206"/>
    </row>
    <row r="139" spans="1:20" ht="14.45" customHeight="1">
      <c r="A139" s="857"/>
      <c r="B139" s="858"/>
      <c r="C139" s="859"/>
      <c r="D139" s="858"/>
      <c r="E139" s="1200"/>
      <c r="F139" s="1201" t="s">
        <v>229</v>
      </c>
      <c r="G139" s="865">
        <v>150000</v>
      </c>
      <c r="H139" s="339" t="s">
        <v>109</v>
      </c>
      <c r="I139" s="1283">
        <v>1</v>
      </c>
      <c r="J139" s="339" t="s">
        <v>109</v>
      </c>
      <c r="K139" s="1204">
        <v>12</v>
      </c>
      <c r="L139" s="1205"/>
      <c r="M139" s="1204"/>
      <c r="N139" s="866"/>
      <c r="O139" s="866" t="s">
        <v>110</v>
      </c>
      <c r="P139" s="873">
        <f>G139*I139*K139</f>
        <v>1800000</v>
      </c>
      <c r="Q139" s="586"/>
      <c r="R139" s="898"/>
      <c r="S139" s="586"/>
      <c r="T139" s="1228"/>
    </row>
    <row r="140" spans="1:20" ht="14.45" customHeight="1">
      <c r="A140" s="857"/>
      <c r="B140" s="858"/>
      <c r="C140" s="859"/>
      <c r="D140" s="858"/>
      <c r="E140" s="1235" t="s">
        <v>230</v>
      </c>
      <c r="F140" s="1191"/>
      <c r="G140" s="862"/>
      <c r="H140" s="861"/>
      <c r="I140" s="861"/>
      <c r="J140" s="861"/>
      <c r="K140" s="861"/>
      <c r="L140" s="1192"/>
      <c r="M140" s="861"/>
      <c r="N140" s="863"/>
      <c r="O140" s="863"/>
      <c r="P140" s="1284"/>
      <c r="Q140" s="1249">
        <f>P141</f>
        <v>3280000</v>
      </c>
      <c r="R140" s="1249">
        <v>3200000</v>
      </c>
      <c r="S140" s="1249">
        <f>Q140-R140</f>
        <v>80000</v>
      </c>
      <c r="T140" s="1250">
        <f>S140/R140</f>
        <v>2.5000000000000001E-2</v>
      </c>
    </row>
    <row r="141" spans="1:20" ht="14.45" customHeight="1">
      <c r="A141" s="857"/>
      <c r="B141" s="858"/>
      <c r="C141" s="859"/>
      <c r="D141" s="858"/>
      <c r="E141" s="859"/>
      <c r="F141" s="1193" t="s">
        <v>231</v>
      </c>
      <c r="G141" s="865"/>
      <c r="H141" s="339"/>
      <c r="I141" s="339"/>
      <c r="J141" s="339"/>
      <c r="K141" s="339"/>
      <c r="L141" s="1216"/>
      <c r="M141" s="339"/>
      <c r="N141" s="866"/>
      <c r="O141" s="866"/>
      <c r="P141" s="867">
        <f>SUM(P142:P144)</f>
        <v>3280000</v>
      </c>
      <c r="Q141" s="388"/>
      <c r="R141" s="868"/>
      <c r="S141" s="388"/>
      <c r="T141" s="1206"/>
    </row>
    <row r="142" spans="1:20" ht="14.45" customHeight="1">
      <c r="A142" s="857"/>
      <c r="B142" s="858"/>
      <c r="C142" s="859"/>
      <c r="D142" s="858"/>
      <c r="E142" s="1200"/>
      <c r="F142" s="1201" t="s">
        <v>228</v>
      </c>
      <c r="G142" s="871">
        <v>100000</v>
      </c>
      <c r="H142" s="339" t="s">
        <v>109</v>
      </c>
      <c r="I142" s="1283">
        <v>1</v>
      </c>
      <c r="J142" s="339" t="s">
        <v>109</v>
      </c>
      <c r="K142" s="1204">
        <v>12</v>
      </c>
      <c r="L142" s="1205"/>
      <c r="M142" s="1204"/>
      <c r="N142" s="866"/>
      <c r="O142" s="866" t="s">
        <v>110</v>
      </c>
      <c r="P142" s="873">
        <f>G142*I142*K142</f>
        <v>1200000</v>
      </c>
      <c r="Q142" s="388"/>
      <c r="R142" s="868"/>
      <c r="S142" s="388"/>
      <c r="T142" s="1206"/>
    </row>
    <row r="143" spans="1:20" ht="14.45" customHeight="1">
      <c r="A143" s="857"/>
      <c r="B143" s="858"/>
      <c r="C143" s="859"/>
      <c r="D143" s="858"/>
      <c r="E143" s="1200"/>
      <c r="F143" s="1201" t="s">
        <v>229</v>
      </c>
      <c r="G143" s="871">
        <v>100000</v>
      </c>
      <c r="H143" s="339" t="s">
        <v>109</v>
      </c>
      <c r="I143" s="1283">
        <v>1</v>
      </c>
      <c r="J143" s="339" t="s">
        <v>109</v>
      </c>
      <c r="K143" s="1204">
        <v>12</v>
      </c>
      <c r="L143" s="1205"/>
      <c r="M143" s="1204"/>
      <c r="N143" s="866"/>
      <c r="O143" s="866" t="s">
        <v>110</v>
      </c>
      <c r="P143" s="873">
        <f>G143*I143*K143</f>
        <v>1200000</v>
      </c>
      <c r="Q143" s="388"/>
      <c r="R143" s="868"/>
      <c r="S143" s="388"/>
      <c r="T143" s="1206"/>
    </row>
    <row r="144" spans="1:20" ht="14.45" customHeight="1">
      <c r="A144" s="857"/>
      <c r="B144" s="858"/>
      <c r="C144" s="859"/>
      <c r="D144" s="858"/>
      <c r="E144" s="1200"/>
      <c r="F144" s="1193" t="s">
        <v>232</v>
      </c>
      <c r="G144" s="865">
        <v>80000</v>
      </c>
      <c r="H144" s="339" t="s">
        <v>109</v>
      </c>
      <c r="I144" s="1285">
        <v>11</v>
      </c>
      <c r="J144" s="339"/>
      <c r="K144" s="1285"/>
      <c r="L144" s="1205"/>
      <c r="M144" s="1204"/>
      <c r="N144" s="866"/>
      <c r="O144" s="866" t="s">
        <v>110</v>
      </c>
      <c r="P144" s="873">
        <f>ROUNDUP(G144*I144,-3)</f>
        <v>880000</v>
      </c>
      <c r="Q144" s="388"/>
      <c r="R144" s="868"/>
      <c r="S144" s="388"/>
      <c r="T144" s="1206"/>
    </row>
    <row r="145" spans="1:22" ht="14.45" customHeight="1">
      <c r="A145" s="857"/>
      <c r="B145" s="858"/>
      <c r="C145" s="859"/>
      <c r="D145" s="858"/>
      <c r="E145" s="861" t="s">
        <v>233</v>
      </c>
      <c r="F145" s="1191"/>
      <c r="G145" s="862"/>
      <c r="H145" s="861"/>
      <c r="I145" s="861"/>
      <c r="J145" s="861"/>
      <c r="K145" s="861"/>
      <c r="L145" s="1192"/>
      <c r="M145" s="861"/>
      <c r="N145" s="863"/>
      <c r="O145" s="863"/>
      <c r="P145" s="861"/>
      <c r="Q145" s="374">
        <f>P146+P148</f>
        <v>8000000</v>
      </c>
      <c r="R145" s="374">
        <v>8000000</v>
      </c>
      <c r="S145" s="374">
        <f>Q145-R145</f>
        <v>0</v>
      </c>
      <c r="T145" s="864">
        <f>S145/R145</f>
        <v>0</v>
      </c>
    </row>
    <row r="146" spans="1:22" ht="14.45" customHeight="1">
      <c r="A146" s="857"/>
      <c r="B146" s="858"/>
      <c r="C146" s="859"/>
      <c r="D146" s="858"/>
      <c r="E146" s="859"/>
      <c r="F146" s="1193" t="s">
        <v>235</v>
      </c>
      <c r="G146" s="865"/>
      <c r="H146" s="339"/>
      <c r="I146" s="339"/>
      <c r="J146" s="339"/>
      <c r="K146" s="339"/>
      <c r="L146" s="1216"/>
      <c r="M146" s="339"/>
      <c r="N146" s="866"/>
      <c r="O146" s="866"/>
      <c r="P146" s="867">
        <f>SUM(P147:P147)</f>
        <v>3000000</v>
      </c>
      <c r="Q146" s="388"/>
      <c r="R146" s="868"/>
      <c r="S146" s="388"/>
      <c r="T146" s="1206"/>
    </row>
    <row r="147" spans="1:22" ht="14.45" customHeight="1">
      <c r="A147" s="857"/>
      <c r="B147" s="858"/>
      <c r="C147" s="859"/>
      <c r="D147" s="858"/>
      <c r="E147" s="1200"/>
      <c r="F147" s="1201" t="s">
        <v>236</v>
      </c>
      <c r="G147" s="871">
        <v>300000</v>
      </c>
      <c r="H147" s="339" t="s">
        <v>109</v>
      </c>
      <c r="I147" s="1203">
        <v>10</v>
      </c>
      <c r="J147" s="339"/>
      <c r="K147" s="1204"/>
      <c r="L147" s="1205"/>
      <c r="M147" s="1204"/>
      <c r="N147" s="866"/>
      <c r="O147" s="866" t="s">
        <v>110</v>
      </c>
      <c r="P147" s="873">
        <f>G147*I147</f>
        <v>3000000</v>
      </c>
      <c r="Q147" s="388"/>
      <c r="R147" s="868"/>
      <c r="S147" s="388"/>
      <c r="T147" s="1206"/>
    </row>
    <row r="148" spans="1:22" ht="14.45" customHeight="1">
      <c r="A148" s="857"/>
      <c r="B148" s="858"/>
      <c r="C148" s="859"/>
      <c r="D148" s="858"/>
      <c r="E148" s="859"/>
      <c r="F148" s="1193" t="s">
        <v>237</v>
      </c>
      <c r="G148" s="865"/>
      <c r="H148" s="339"/>
      <c r="I148" s="339"/>
      <c r="J148" s="339"/>
      <c r="K148" s="339"/>
      <c r="L148" s="1216"/>
      <c r="M148" s="339"/>
      <c r="N148" s="866"/>
      <c r="O148" s="866"/>
      <c r="P148" s="867">
        <f>SUM(P149:P149)</f>
        <v>5000000</v>
      </c>
      <c r="Q148" s="388"/>
      <c r="R148" s="868"/>
      <c r="S148" s="388"/>
      <c r="T148" s="1206"/>
    </row>
    <row r="149" spans="1:22" ht="14.45" customHeight="1">
      <c r="A149" s="857"/>
      <c r="B149" s="858"/>
      <c r="C149" s="859"/>
      <c r="D149" s="858"/>
      <c r="E149" s="1200"/>
      <c r="F149" s="1201" t="s">
        <v>238</v>
      </c>
      <c r="G149" s="871">
        <v>2500000</v>
      </c>
      <c r="H149" s="339" t="s">
        <v>109</v>
      </c>
      <c r="I149" s="872">
        <v>2</v>
      </c>
      <c r="J149" s="339"/>
      <c r="K149" s="1204"/>
      <c r="L149" s="1205"/>
      <c r="M149" s="1204"/>
      <c r="N149" s="866"/>
      <c r="O149" s="866" t="s">
        <v>110</v>
      </c>
      <c r="P149" s="873">
        <f>G149*I149</f>
        <v>5000000</v>
      </c>
      <c r="Q149" s="388"/>
      <c r="R149" s="868"/>
      <c r="S149" s="388"/>
      <c r="T149" s="1206"/>
    </row>
    <row r="150" spans="1:22" ht="14.45" customHeight="1">
      <c r="A150" s="857"/>
      <c r="B150" s="858"/>
      <c r="C150" s="859"/>
      <c r="D150" s="858"/>
      <c r="E150" s="861" t="s">
        <v>239</v>
      </c>
      <c r="F150" s="1191"/>
      <c r="G150" s="862"/>
      <c r="H150" s="861"/>
      <c r="I150" s="861"/>
      <c r="J150" s="861"/>
      <c r="K150" s="861"/>
      <c r="L150" s="1192"/>
      <c r="M150" s="861"/>
      <c r="N150" s="863"/>
      <c r="O150" s="863"/>
      <c r="P150" s="861"/>
      <c r="Q150" s="374">
        <f>P151</f>
        <v>790000</v>
      </c>
      <c r="R150" s="374">
        <v>1100000</v>
      </c>
      <c r="S150" s="374">
        <f>Q150-R150</f>
        <v>-310000</v>
      </c>
      <c r="T150" s="864">
        <f>S150/R150</f>
        <v>-0.2818181818181818</v>
      </c>
    </row>
    <row r="151" spans="1:22" ht="14.45" customHeight="1">
      <c r="A151" s="857"/>
      <c r="B151" s="858"/>
      <c r="C151" s="859"/>
      <c r="D151" s="858"/>
      <c r="E151" s="859"/>
      <c r="F151" s="1193" t="s">
        <v>240</v>
      </c>
      <c r="G151" s="865"/>
      <c r="H151" s="339"/>
      <c r="I151" s="339"/>
      <c r="J151" s="339"/>
      <c r="K151" s="339"/>
      <c r="L151" s="1216"/>
      <c r="M151" s="339"/>
      <c r="N151" s="866"/>
      <c r="O151" s="866"/>
      <c r="P151" s="867">
        <f>SUM(P152:P153)</f>
        <v>790000</v>
      </c>
      <c r="Q151" s="388"/>
      <c r="R151" s="868"/>
      <c r="S151" s="388"/>
      <c r="T151" s="1206"/>
    </row>
    <row r="152" spans="1:22" ht="14.45" customHeight="1">
      <c r="A152" s="857"/>
      <c r="B152" s="858"/>
      <c r="C152" s="859"/>
      <c r="D152" s="858"/>
      <c r="E152" s="1200"/>
      <c r="F152" s="1201" t="s">
        <v>241</v>
      </c>
      <c r="G152" s="865">
        <v>400000</v>
      </c>
      <c r="H152" s="339" t="s">
        <v>109</v>
      </c>
      <c r="I152" s="872">
        <v>1</v>
      </c>
      <c r="J152" s="339"/>
      <c r="K152" s="1204"/>
      <c r="L152" s="1205"/>
      <c r="M152" s="1204"/>
      <c r="N152" s="866"/>
      <c r="O152" s="866" t="s">
        <v>110</v>
      </c>
      <c r="P152" s="873">
        <f>ROUNDUP(G152*I152,-3)</f>
        <v>400000</v>
      </c>
      <c r="Q152" s="388"/>
      <c r="R152" s="868"/>
      <c r="S152" s="388"/>
      <c r="T152" s="1206"/>
    </row>
    <row r="153" spans="1:22" ht="14.45" customHeight="1">
      <c r="A153" s="1221"/>
      <c r="B153" s="870"/>
      <c r="C153" s="1222"/>
      <c r="D153" s="870"/>
      <c r="E153" s="1223"/>
      <c r="F153" s="1224" t="s">
        <v>242</v>
      </c>
      <c r="G153" s="1243">
        <v>390000</v>
      </c>
      <c r="H153" s="895" t="s">
        <v>109</v>
      </c>
      <c r="I153" s="872">
        <v>1</v>
      </c>
      <c r="J153" s="895"/>
      <c r="K153" s="1226"/>
      <c r="L153" s="1227"/>
      <c r="M153" s="1226"/>
      <c r="N153" s="896"/>
      <c r="O153" s="896" t="s">
        <v>110</v>
      </c>
      <c r="P153" s="897">
        <f>ROUNDUP(G153*I153,-3)</f>
        <v>390000</v>
      </c>
      <c r="Q153" s="586"/>
      <c r="R153" s="898"/>
      <c r="S153" s="586"/>
      <c r="T153" s="1228"/>
    </row>
    <row r="154" spans="1:22" ht="14.45" customHeight="1">
      <c r="A154" s="1286"/>
      <c r="B154" s="858"/>
      <c r="C154" s="858"/>
      <c r="D154" s="858"/>
      <c r="E154" s="1244" t="s">
        <v>243</v>
      </c>
      <c r="F154" s="1245"/>
      <c r="G154" s="1246"/>
      <c r="H154" s="1244"/>
      <c r="I154" s="1244"/>
      <c r="J154" s="1244"/>
      <c r="K154" s="1244"/>
      <c r="L154" s="1247"/>
      <c r="M154" s="1244"/>
      <c r="N154" s="1248"/>
      <c r="O154" s="1248"/>
      <c r="P154" s="1244"/>
      <c r="Q154" s="1249">
        <f>P155+P158</f>
        <v>8800000</v>
      </c>
      <c r="R154" s="1249">
        <v>15000000</v>
      </c>
      <c r="S154" s="1249">
        <f>Q154-R154</f>
        <v>-6200000</v>
      </c>
      <c r="T154" s="1250">
        <f>S154/R154</f>
        <v>-0.41333333333333333</v>
      </c>
    </row>
    <row r="155" spans="1:22" ht="14.45" customHeight="1">
      <c r="A155" s="1286"/>
      <c r="B155" s="858"/>
      <c r="C155" s="858"/>
      <c r="D155" s="858"/>
      <c r="E155" s="1287"/>
      <c r="F155" s="1288" t="s">
        <v>244</v>
      </c>
      <c r="G155" s="1275"/>
      <c r="H155" s="1276"/>
      <c r="I155" s="1276"/>
      <c r="J155" s="1276"/>
      <c r="K155" s="1276"/>
      <c r="L155" s="1277"/>
      <c r="M155" s="1276"/>
      <c r="N155" s="1278"/>
      <c r="O155" s="1278"/>
      <c r="P155" s="1279">
        <f>SUM(P156:P157)</f>
        <v>4000000</v>
      </c>
      <c r="Q155" s="382"/>
      <c r="R155" s="1280"/>
      <c r="S155" s="1280"/>
      <c r="T155" s="1289"/>
    </row>
    <row r="156" spans="1:22" ht="14.45" customHeight="1">
      <c r="A156" s="1286"/>
      <c r="B156" s="858"/>
      <c r="C156" s="858"/>
      <c r="D156" s="858"/>
      <c r="E156" s="340"/>
      <c r="F156" s="1290" t="s">
        <v>245</v>
      </c>
      <c r="G156" s="871">
        <v>3000000</v>
      </c>
      <c r="H156" s="339" t="s">
        <v>109</v>
      </c>
      <c r="I156" s="872">
        <v>1</v>
      </c>
      <c r="J156" s="339"/>
      <c r="K156" s="872"/>
      <c r="L156" s="1205"/>
      <c r="M156" s="1204"/>
      <c r="N156" s="866"/>
      <c r="O156" s="866" t="s">
        <v>110</v>
      </c>
      <c r="P156" s="873">
        <f>G156*I156</f>
        <v>3000000</v>
      </c>
      <c r="Q156" s="388"/>
      <c r="R156" s="868"/>
      <c r="S156" s="868"/>
      <c r="T156" s="869"/>
    </row>
    <row r="157" spans="1:22" ht="14.45" customHeight="1">
      <c r="A157" s="1286"/>
      <c r="B157" s="858"/>
      <c r="C157" s="858"/>
      <c r="D157" s="858"/>
      <c r="E157" s="1291"/>
      <c r="F157" s="1290" t="s">
        <v>246</v>
      </c>
      <c r="G157" s="871">
        <v>250000</v>
      </c>
      <c r="H157" s="339" t="s">
        <v>109</v>
      </c>
      <c r="I157" s="1282">
        <v>4</v>
      </c>
      <c r="J157" s="339"/>
      <c r="K157" s="872"/>
      <c r="L157" s="1205"/>
      <c r="M157" s="1204"/>
      <c r="N157" s="866"/>
      <c r="O157" s="866" t="s">
        <v>110</v>
      </c>
      <c r="P157" s="873">
        <f>G157*I157</f>
        <v>1000000</v>
      </c>
      <c r="Q157" s="388"/>
      <c r="R157" s="868"/>
      <c r="S157" s="868"/>
      <c r="T157" s="869"/>
      <c r="U157" s="1292"/>
      <c r="V157" s="891"/>
    </row>
    <row r="158" spans="1:22" ht="14.45" customHeight="1">
      <c r="A158" s="1286"/>
      <c r="B158" s="858"/>
      <c r="C158" s="858"/>
      <c r="D158" s="858"/>
      <c r="E158" s="339"/>
      <c r="F158" s="1293" t="s">
        <v>247</v>
      </c>
      <c r="G158" s="865"/>
      <c r="H158" s="339"/>
      <c r="I158" s="339"/>
      <c r="J158" s="339"/>
      <c r="K158" s="339"/>
      <c r="L158" s="1216"/>
      <c r="M158" s="339"/>
      <c r="N158" s="866"/>
      <c r="O158" s="866"/>
      <c r="P158" s="867">
        <f>SUM(P159:P160)</f>
        <v>4800000</v>
      </c>
      <c r="Q158" s="388"/>
      <c r="R158" s="868"/>
      <c r="S158" s="868"/>
      <c r="T158" s="869"/>
    </row>
    <row r="159" spans="1:22" ht="14.45" customHeight="1">
      <c r="A159" s="1286"/>
      <c r="B159" s="858"/>
      <c r="C159" s="858"/>
      <c r="D159" s="858"/>
      <c r="E159" s="339"/>
      <c r="F159" s="1290" t="s">
        <v>248</v>
      </c>
      <c r="G159" s="865">
        <v>1500000</v>
      </c>
      <c r="H159" s="339" t="s">
        <v>109</v>
      </c>
      <c r="I159" s="872">
        <v>2</v>
      </c>
      <c r="J159" s="339"/>
      <c r="K159" s="339"/>
      <c r="L159" s="1216"/>
      <c r="M159" s="339"/>
      <c r="N159" s="866"/>
      <c r="O159" s="866" t="s">
        <v>110</v>
      </c>
      <c r="P159" s="1268">
        <f>G159*I159</f>
        <v>3000000</v>
      </c>
      <c r="Q159" s="388"/>
      <c r="R159" s="868"/>
      <c r="S159" s="868"/>
      <c r="T159" s="869"/>
    </row>
    <row r="160" spans="1:22" ht="14.45" customHeight="1">
      <c r="A160" s="1286"/>
      <c r="B160" s="858"/>
      <c r="C160" s="858"/>
      <c r="D160" s="858"/>
      <c r="E160" s="339"/>
      <c r="F160" s="1290" t="s">
        <v>249</v>
      </c>
      <c r="G160" s="865">
        <v>300000</v>
      </c>
      <c r="H160" s="339" t="s">
        <v>109</v>
      </c>
      <c r="I160" s="872">
        <v>6</v>
      </c>
      <c r="J160" s="339"/>
      <c r="K160" s="339"/>
      <c r="L160" s="1216"/>
      <c r="M160" s="339"/>
      <c r="N160" s="866"/>
      <c r="O160" s="866" t="s">
        <v>110</v>
      </c>
      <c r="P160" s="1268">
        <f>G160*I160</f>
        <v>1800000</v>
      </c>
      <c r="Q160" s="388"/>
      <c r="R160" s="868"/>
      <c r="S160" s="868"/>
      <c r="T160" s="869"/>
    </row>
    <row r="161" spans="1:23" ht="14.45" customHeight="1">
      <c r="A161" s="857"/>
      <c r="B161" s="858"/>
      <c r="C161" s="859"/>
      <c r="D161" s="858"/>
      <c r="E161" s="861" t="s">
        <v>250</v>
      </c>
      <c r="F161" s="1191"/>
      <c r="G161" s="862"/>
      <c r="H161" s="861"/>
      <c r="I161" s="861"/>
      <c r="J161" s="861"/>
      <c r="K161" s="861"/>
      <c r="L161" s="1192"/>
      <c r="M161" s="861"/>
      <c r="N161" s="863"/>
      <c r="O161" s="863"/>
      <c r="P161" s="861"/>
      <c r="Q161" s="374">
        <f>P162+P164+P166+P168+P170</f>
        <v>10600000</v>
      </c>
      <c r="R161" s="374">
        <v>7000000</v>
      </c>
      <c r="S161" s="374">
        <f>Q161-R161</f>
        <v>3600000</v>
      </c>
      <c r="T161" s="864">
        <f>S161/R161</f>
        <v>0.51428571428571423</v>
      </c>
    </row>
    <row r="162" spans="1:23" ht="14.45" customHeight="1">
      <c r="A162" s="857"/>
      <c r="B162" s="858"/>
      <c r="C162" s="859"/>
      <c r="D162" s="858"/>
      <c r="E162" s="859"/>
      <c r="F162" s="1193" t="s">
        <v>251</v>
      </c>
      <c r="G162" s="865"/>
      <c r="H162" s="339"/>
      <c r="I162" s="339"/>
      <c r="J162" s="339"/>
      <c r="K162" s="339"/>
      <c r="L162" s="1216"/>
      <c r="M162" s="339"/>
      <c r="N162" s="866"/>
      <c r="O162" s="866"/>
      <c r="P162" s="867">
        <f>SUM(P163:P163)</f>
        <v>2000000</v>
      </c>
      <c r="Q162" s="388"/>
      <c r="R162" s="868"/>
      <c r="S162" s="388"/>
      <c r="T162" s="1206"/>
    </row>
    <row r="163" spans="1:23" ht="14.45" customHeight="1">
      <c r="A163" s="857"/>
      <c r="B163" s="858"/>
      <c r="C163" s="859"/>
      <c r="D163" s="858"/>
      <c r="E163" s="1200"/>
      <c r="F163" s="1201" t="s">
        <v>252</v>
      </c>
      <c r="G163" s="871">
        <v>1000000</v>
      </c>
      <c r="H163" s="339" t="s">
        <v>109</v>
      </c>
      <c r="I163" s="872">
        <v>2</v>
      </c>
      <c r="J163" s="339"/>
      <c r="K163" s="1204"/>
      <c r="L163" s="1205"/>
      <c r="M163" s="1204"/>
      <c r="N163" s="866"/>
      <c r="O163" s="866" t="s">
        <v>110</v>
      </c>
      <c r="P163" s="873">
        <f>G163*I163</f>
        <v>2000000</v>
      </c>
      <c r="Q163" s="388"/>
      <c r="R163" s="868"/>
      <c r="S163" s="388"/>
      <c r="T163" s="1206"/>
    </row>
    <row r="164" spans="1:23" ht="14.45" customHeight="1">
      <c r="A164" s="857"/>
      <c r="B164" s="858"/>
      <c r="C164" s="859"/>
      <c r="D164" s="858"/>
      <c r="E164" s="859"/>
      <c r="F164" s="1193" t="s">
        <v>253</v>
      </c>
      <c r="G164" s="865"/>
      <c r="H164" s="339"/>
      <c r="I164" s="339"/>
      <c r="J164" s="339"/>
      <c r="K164" s="339"/>
      <c r="L164" s="1216"/>
      <c r="M164" s="339"/>
      <c r="N164" s="866"/>
      <c r="O164" s="866"/>
      <c r="P164" s="867">
        <f>SUM(P165)</f>
        <v>4000000</v>
      </c>
      <c r="Q164" s="388"/>
      <c r="R164" s="868"/>
      <c r="S164" s="388"/>
      <c r="T164" s="1206"/>
    </row>
    <row r="165" spans="1:23" ht="14.45" customHeight="1">
      <c r="A165" s="857"/>
      <c r="B165" s="858"/>
      <c r="C165" s="859"/>
      <c r="D165" s="858"/>
      <c r="E165" s="1200"/>
      <c r="F165" s="1201" t="s">
        <v>252</v>
      </c>
      <c r="G165" s="871">
        <v>1000000</v>
      </c>
      <c r="H165" s="339" t="s">
        <v>109</v>
      </c>
      <c r="I165" s="872">
        <v>4</v>
      </c>
      <c r="J165" s="339"/>
      <c r="K165" s="1204"/>
      <c r="L165" s="1205"/>
      <c r="M165" s="1204"/>
      <c r="N165" s="866"/>
      <c r="O165" s="866" t="s">
        <v>110</v>
      </c>
      <c r="P165" s="873">
        <f>G165*I165</f>
        <v>4000000</v>
      </c>
      <c r="Q165" s="388"/>
      <c r="R165" s="868"/>
      <c r="S165" s="388"/>
      <c r="T165" s="1206"/>
    </row>
    <row r="166" spans="1:23" ht="14.45" customHeight="1">
      <c r="A166" s="857"/>
      <c r="B166" s="858"/>
      <c r="C166" s="859"/>
      <c r="D166" s="858"/>
      <c r="E166" s="859"/>
      <c r="F166" s="1193" t="s">
        <v>254</v>
      </c>
      <c r="G166" s="865"/>
      <c r="H166" s="339"/>
      <c r="I166" s="339"/>
      <c r="J166" s="339"/>
      <c r="K166" s="339"/>
      <c r="L166" s="1216"/>
      <c r="M166" s="339"/>
      <c r="N166" s="866"/>
      <c r="O166" s="866"/>
      <c r="P166" s="867">
        <f>SUM(P167)</f>
        <v>2000000</v>
      </c>
      <c r="Q166" s="388"/>
      <c r="R166" s="868"/>
      <c r="S166" s="388"/>
      <c r="T166" s="1206"/>
    </row>
    <row r="167" spans="1:23" ht="14.45" customHeight="1">
      <c r="A167" s="857"/>
      <c r="B167" s="858"/>
      <c r="C167" s="859"/>
      <c r="D167" s="858"/>
      <c r="E167" s="1200"/>
      <c r="F167" s="1201" t="s">
        <v>252</v>
      </c>
      <c r="G167" s="871">
        <v>500000</v>
      </c>
      <c r="H167" s="339" t="s">
        <v>109</v>
      </c>
      <c r="I167" s="872">
        <v>1</v>
      </c>
      <c r="J167" s="339" t="s">
        <v>109</v>
      </c>
      <c r="K167" s="1282">
        <v>4</v>
      </c>
      <c r="L167" s="1205"/>
      <c r="M167" s="1204"/>
      <c r="N167" s="866"/>
      <c r="O167" s="866" t="s">
        <v>110</v>
      </c>
      <c r="P167" s="873">
        <f>G167*I167*K167</f>
        <v>2000000</v>
      </c>
      <c r="Q167" s="388"/>
      <c r="R167" s="868"/>
      <c r="S167" s="388"/>
      <c r="T167" s="1206"/>
      <c r="V167" s="891"/>
      <c r="W167" s="879"/>
    </row>
    <row r="168" spans="1:23" ht="14.45" customHeight="1">
      <c r="A168" s="857"/>
      <c r="B168" s="858"/>
      <c r="C168" s="859"/>
      <c r="D168" s="858"/>
      <c r="E168" s="859"/>
      <c r="F168" s="1193" t="s">
        <v>255</v>
      </c>
      <c r="G168" s="865"/>
      <c r="H168" s="339"/>
      <c r="I168" s="339"/>
      <c r="J168" s="339"/>
      <c r="K168" s="339"/>
      <c r="L168" s="1216"/>
      <c r="M168" s="339"/>
      <c r="N168" s="866"/>
      <c r="O168" s="866"/>
      <c r="P168" s="867">
        <f>P169</f>
        <v>2000000</v>
      </c>
      <c r="Q168" s="388"/>
      <c r="R168" s="868"/>
      <c r="S168" s="388"/>
      <c r="T168" s="1206"/>
      <c r="V168" s="891"/>
    </row>
    <row r="169" spans="1:23" ht="14.45" customHeight="1">
      <c r="A169" s="857"/>
      <c r="B169" s="858"/>
      <c r="C169" s="859"/>
      <c r="D169" s="858"/>
      <c r="E169" s="1200"/>
      <c r="F169" s="1201" t="s">
        <v>252</v>
      </c>
      <c r="G169" s="871">
        <v>500000</v>
      </c>
      <c r="H169" s="339" t="s">
        <v>109</v>
      </c>
      <c r="I169" s="872">
        <v>1</v>
      </c>
      <c r="J169" s="339" t="s">
        <v>109</v>
      </c>
      <c r="K169" s="1282">
        <v>4</v>
      </c>
      <c r="L169" s="1205"/>
      <c r="M169" s="1204"/>
      <c r="N169" s="866"/>
      <c r="O169" s="866" t="s">
        <v>110</v>
      </c>
      <c r="P169" s="873">
        <f>G169*I169*K169</f>
        <v>2000000</v>
      </c>
      <c r="Q169" s="388"/>
      <c r="R169" s="868"/>
      <c r="S169" s="388"/>
      <c r="T169" s="1206"/>
      <c r="V169" s="891"/>
    </row>
    <row r="170" spans="1:23" ht="14.45" customHeight="1">
      <c r="A170" s="857"/>
      <c r="B170" s="858"/>
      <c r="C170" s="859"/>
      <c r="D170" s="858"/>
      <c r="E170" s="859"/>
      <c r="F170" s="1193" t="s">
        <v>256</v>
      </c>
      <c r="G170" s="865"/>
      <c r="H170" s="339"/>
      <c r="I170" s="339"/>
      <c r="J170" s="339"/>
      <c r="K170" s="339"/>
      <c r="L170" s="1216"/>
      <c r="M170" s="339"/>
      <c r="N170" s="866"/>
      <c r="O170" s="866"/>
      <c r="P170" s="867">
        <f>SUM(P171)</f>
        <v>600000</v>
      </c>
      <c r="Q170" s="388"/>
      <c r="R170" s="868"/>
      <c r="S170" s="388"/>
      <c r="T170" s="1206"/>
    </row>
    <row r="171" spans="1:23" ht="14.45" customHeight="1">
      <c r="A171" s="857"/>
      <c r="B171" s="858"/>
      <c r="C171" s="859"/>
      <c r="D171" s="858"/>
      <c r="E171" s="1253"/>
      <c r="F171" s="1254" t="s">
        <v>257</v>
      </c>
      <c r="G171" s="893">
        <v>150000</v>
      </c>
      <c r="H171" s="895" t="s">
        <v>109</v>
      </c>
      <c r="I171" s="1271">
        <v>1</v>
      </c>
      <c r="J171" s="895" t="s">
        <v>109</v>
      </c>
      <c r="K171" s="1294">
        <v>4</v>
      </c>
      <c r="L171" s="1227"/>
      <c r="M171" s="1226"/>
      <c r="N171" s="896"/>
      <c r="O171" s="896" t="s">
        <v>110</v>
      </c>
      <c r="P171" s="897">
        <f>G171*I171*K171</f>
        <v>600000</v>
      </c>
      <c r="Q171" s="586"/>
      <c r="R171" s="898"/>
      <c r="S171" s="586"/>
      <c r="T171" s="1228"/>
    </row>
    <row r="172" spans="1:23" ht="14.45" customHeight="1">
      <c r="A172" s="857"/>
      <c r="B172" s="858"/>
      <c r="C172" s="859"/>
      <c r="D172" s="858"/>
      <c r="E172" s="1244" t="s">
        <v>258</v>
      </c>
      <c r="F172" s="1245"/>
      <c r="G172" s="1246"/>
      <c r="H172" s="1244"/>
      <c r="I172" s="1244"/>
      <c r="J172" s="1244"/>
      <c r="K172" s="1244"/>
      <c r="L172" s="1247"/>
      <c r="M172" s="1244"/>
      <c r="N172" s="1248"/>
      <c r="O172" s="1248"/>
      <c r="P172" s="1244"/>
      <c r="Q172" s="1249">
        <f>P173</f>
        <v>15000000</v>
      </c>
      <c r="R172" s="1249">
        <v>42000000</v>
      </c>
      <c r="S172" s="1249">
        <f>Q172-R172</f>
        <v>-27000000</v>
      </c>
      <c r="T172" s="1250">
        <f>S172/R172</f>
        <v>-0.6428571428571429</v>
      </c>
    </row>
    <row r="173" spans="1:23" ht="14.45" customHeight="1">
      <c r="A173" s="857"/>
      <c r="B173" s="858"/>
      <c r="C173" s="859"/>
      <c r="D173" s="858"/>
      <c r="E173" s="339"/>
      <c r="F173" s="1293" t="s">
        <v>259</v>
      </c>
      <c r="G173" s="865"/>
      <c r="H173" s="339"/>
      <c r="I173" s="339"/>
      <c r="J173" s="339"/>
      <c r="K173" s="339"/>
      <c r="L173" s="1216"/>
      <c r="M173" s="339"/>
      <c r="N173" s="866"/>
      <c r="O173" s="866"/>
      <c r="P173" s="867">
        <f>SUM(P174)</f>
        <v>15000000</v>
      </c>
      <c r="Q173" s="388"/>
      <c r="R173" s="868"/>
      <c r="S173" s="868"/>
      <c r="T173" s="869"/>
      <c r="U173" s="1292"/>
    </row>
    <row r="174" spans="1:23" ht="14.45" customHeight="1">
      <c r="A174" s="857"/>
      <c r="B174" s="858"/>
      <c r="C174" s="859"/>
      <c r="D174" s="858"/>
      <c r="E174" s="340"/>
      <c r="F174" s="1290" t="s">
        <v>260</v>
      </c>
      <c r="G174" s="871">
        <v>15000000</v>
      </c>
      <c r="H174" s="339" t="s">
        <v>109</v>
      </c>
      <c r="I174" s="872">
        <v>1</v>
      </c>
      <c r="J174" s="339"/>
      <c r="K174" s="872"/>
      <c r="L174" s="1205"/>
      <c r="M174" s="1204"/>
      <c r="N174" s="866"/>
      <c r="O174" s="866" t="s">
        <v>110</v>
      </c>
      <c r="P174" s="873">
        <f>G174*I174</f>
        <v>15000000</v>
      </c>
      <c r="Q174" s="388"/>
      <c r="R174" s="868"/>
      <c r="S174" s="868"/>
      <c r="T174" s="869"/>
    </row>
    <row r="175" spans="1:23" ht="14.45" customHeight="1">
      <c r="A175" s="857"/>
      <c r="B175" s="858"/>
      <c r="C175" s="859"/>
      <c r="D175" s="1185" t="s">
        <v>261</v>
      </c>
      <c r="E175" s="1185"/>
      <c r="F175" s="1186"/>
      <c r="G175" s="1187"/>
      <c r="H175" s="1185"/>
      <c r="I175" s="1185"/>
      <c r="J175" s="1185"/>
      <c r="K175" s="1185"/>
      <c r="L175" s="1184"/>
      <c r="M175" s="1185"/>
      <c r="N175" s="1188"/>
      <c r="O175" s="1188"/>
      <c r="P175" s="1185"/>
      <c r="Q175" s="1189">
        <f>Q176</f>
        <v>5000000</v>
      </c>
      <c r="R175" s="1189">
        <f>R176</f>
        <v>5500000</v>
      </c>
      <c r="S175" s="1189">
        <f>Q175-R175</f>
        <v>-500000</v>
      </c>
      <c r="T175" s="1236">
        <f>S175/R175</f>
        <v>-9.0909090909090912E-2</v>
      </c>
    </row>
    <row r="176" spans="1:23" ht="14.45" customHeight="1">
      <c r="A176" s="857"/>
      <c r="B176" s="858"/>
      <c r="C176" s="859"/>
      <c r="D176" s="858"/>
      <c r="E176" s="861" t="s">
        <v>262</v>
      </c>
      <c r="F176" s="1191"/>
      <c r="G176" s="862"/>
      <c r="H176" s="861"/>
      <c r="I176" s="861"/>
      <c r="J176" s="861"/>
      <c r="K176" s="861"/>
      <c r="L176" s="1192"/>
      <c r="M176" s="861"/>
      <c r="N176" s="863"/>
      <c r="O176" s="863"/>
      <c r="P176" s="861"/>
      <c r="Q176" s="374">
        <f>P177</f>
        <v>5000000</v>
      </c>
      <c r="R176" s="374">
        <v>5500000</v>
      </c>
      <c r="S176" s="374">
        <f>Q176-R176</f>
        <v>-500000</v>
      </c>
      <c r="T176" s="864">
        <f>S176/R176</f>
        <v>-9.0909090909090912E-2</v>
      </c>
    </row>
    <row r="177" spans="1:22" ht="14.45" customHeight="1">
      <c r="A177" s="857"/>
      <c r="B177" s="858"/>
      <c r="C177" s="859"/>
      <c r="D177" s="858"/>
      <c r="E177" s="859"/>
      <c r="F177" s="1193" t="s">
        <v>559</v>
      </c>
      <c r="G177" s="865"/>
      <c r="H177" s="339"/>
      <c r="I177" s="339"/>
      <c r="J177" s="339"/>
      <c r="K177" s="339"/>
      <c r="L177" s="1216"/>
      <c r="M177" s="339"/>
      <c r="N177" s="866"/>
      <c r="O177" s="866"/>
      <c r="P177" s="867">
        <f>SUM(P178:P178)</f>
        <v>5000000</v>
      </c>
      <c r="Q177" s="388"/>
      <c r="R177" s="868"/>
      <c r="S177" s="388"/>
      <c r="T177" s="1206"/>
    </row>
    <row r="178" spans="1:22" ht="14.45" customHeight="1">
      <c r="A178" s="857"/>
      <c r="B178" s="858"/>
      <c r="C178" s="859"/>
      <c r="D178" s="858"/>
      <c r="E178" s="1200"/>
      <c r="F178" s="1201" t="s">
        <v>560</v>
      </c>
      <c r="G178" s="871">
        <v>1000000</v>
      </c>
      <c r="H178" s="339" t="s">
        <v>109</v>
      </c>
      <c r="I178" s="872">
        <v>5</v>
      </c>
      <c r="J178" s="339"/>
      <c r="K178" s="1204"/>
      <c r="L178" s="1205"/>
      <c r="M178" s="1204"/>
      <c r="N178" s="866"/>
      <c r="O178" s="866" t="s">
        <v>110</v>
      </c>
      <c r="P178" s="873">
        <f>ROUNDUP(G178*I178,-3)</f>
        <v>5000000</v>
      </c>
      <c r="Q178" s="388"/>
      <c r="R178" s="868"/>
      <c r="S178" s="388"/>
      <c r="T178" s="1206"/>
      <c r="V178" s="891"/>
    </row>
    <row r="179" spans="1:22" ht="14.45" customHeight="1">
      <c r="A179" s="857"/>
      <c r="B179" s="858"/>
      <c r="C179" s="859"/>
      <c r="D179" s="1185" t="s">
        <v>2136</v>
      </c>
      <c r="E179" s="1185"/>
      <c r="F179" s="1186"/>
      <c r="G179" s="1187"/>
      <c r="H179" s="1185"/>
      <c r="I179" s="1185"/>
      <c r="J179" s="1185"/>
      <c r="K179" s="1185"/>
      <c r="L179" s="1184"/>
      <c r="M179" s="1185"/>
      <c r="N179" s="1188"/>
      <c r="O179" s="1188"/>
      <c r="P179" s="1185"/>
      <c r="Q179" s="1189">
        <f>Q180</f>
        <v>91448000</v>
      </c>
      <c r="R179" s="1189">
        <f>R180</f>
        <v>17500000</v>
      </c>
      <c r="S179" s="1189">
        <f>Q179-R179</f>
        <v>73948000</v>
      </c>
      <c r="T179" s="1236">
        <f>S179/R179</f>
        <v>4.2256</v>
      </c>
    </row>
    <row r="180" spans="1:22" ht="14.45" customHeight="1">
      <c r="A180" s="857"/>
      <c r="B180" s="858"/>
      <c r="C180" s="859"/>
      <c r="D180" s="858"/>
      <c r="E180" s="861" t="s">
        <v>263</v>
      </c>
      <c r="F180" s="1191"/>
      <c r="G180" s="862"/>
      <c r="H180" s="861"/>
      <c r="I180" s="861"/>
      <c r="J180" s="861"/>
      <c r="K180" s="861"/>
      <c r="L180" s="1192"/>
      <c r="M180" s="861"/>
      <c r="N180" s="863"/>
      <c r="O180" s="863"/>
      <c r="P180" s="861"/>
      <c r="Q180" s="374">
        <f>P181</f>
        <v>91448000</v>
      </c>
      <c r="R180" s="374">
        <v>17500000</v>
      </c>
      <c r="S180" s="374">
        <f>Q180-R180</f>
        <v>73948000</v>
      </c>
      <c r="T180" s="864">
        <f>S180/R180</f>
        <v>4.2256</v>
      </c>
    </row>
    <row r="181" spans="1:22" ht="14.45" customHeight="1">
      <c r="A181" s="857"/>
      <c r="B181" s="858"/>
      <c r="C181" s="859"/>
      <c r="D181" s="858"/>
      <c r="E181" s="859"/>
      <c r="F181" s="1193" t="s">
        <v>264</v>
      </c>
      <c r="G181" s="865"/>
      <c r="H181" s="339"/>
      <c r="I181" s="339"/>
      <c r="J181" s="339"/>
      <c r="K181" s="339"/>
      <c r="L181" s="1216"/>
      <c r="M181" s="339"/>
      <c r="N181" s="866"/>
      <c r="O181" s="866"/>
      <c r="P181" s="867">
        <f>SUM(P182:P183)</f>
        <v>91448000</v>
      </c>
      <c r="Q181" s="388"/>
      <c r="R181" s="868"/>
      <c r="S181" s="388"/>
      <c r="T181" s="1206"/>
    </row>
    <row r="182" spans="1:22" ht="14.45" customHeight="1">
      <c r="A182" s="857"/>
      <c r="B182" s="858"/>
      <c r="C182" s="859"/>
      <c r="D182" s="858"/>
      <c r="E182" s="1200"/>
      <c r="F182" s="1201" t="s">
        <v>265</v>
      </c>
      <c r="G182" s="871">
        <v>5040660</v>
      </c>
      <c r="H182" s="339" t="s">
        <v>109</v>
      </c>
      <c r="I182" s="1295">
        <v>2</v>
      </c>
      <c r="J182" s="1237"/>
      <c r="K182" s="1204"/>
      <c r="L182" s="1205"/>
      <c r="M182" s="1204"/>
      <c r="N182" s="866"/>
      <c r="O182" s="866" t="s">
        <v>110</v>
      </c>
      <c r="P182" s="873">
        <f>ROUNDUP(G182*I182,-3)</f>
        <v>10082000</v>
      </c>
      <c r="Q182" s="388"/>
      <c r="R182" s="868"/>
      <c r="S182" s="388"/>
      <c r="T182" s="1206"/>
    </row>
    <row r="183" spans="1:22" ht="14.45" customHeight="1">
      <c r="A183" s="857"/>
      <c r="B183" s="858"/>
      <c r="C183" s="859"/>
      <c r="D183" s="858"/>
      <c r="E183" s="1200"/>
      <c r="F183" s="1201" t="s">
        <v>266</v>
      </c>
      <c r="G183" s="871">
        <v>2338100</v>
      </c>
      <c r="H183" s="339" t="s">
        <v>109</v>
      </c>
      <c r="I183" s="1295">
        <v>1.2</v>
      </c>
      <c r="J183" s="339" t="s">
        <v>109</v>
      </c>
      <c r="K183" s="1203">
        <v>29</v>
      </c>
      <c r="L183" s="1205"/>
      <c r="M183" s="1204"/>
      <c r="N183" s="866"/>
      <c r="O183" s="866" t="s">
        <v>110</v>
      </c>
      <c r="P183" s="873">
        <f>ROUNDUP(G183*I183*K183,-3)</f>
        <v>81366000</v>
      </c>
      <c r="Q183" s="388"/>
      <c r="R183" s="868"/>
      <c r="S183" s="388"/>
      <c r="T183" s="1206"/>
    </row>
    <row r="184" spans="1:22" ht="14.45" customHeight="1">
      <c r="A184" s="857"/>
      <c r="B184" s="848"/>
      <c r="C184" s="849" t="s">
        <v>267</v>
      </c>
      <c r="D184" s="850"/>
      <c r="E184" s="849"/>
      <c r="F184" s="1182"/>
      <c r="G184" s="852"/>
      <c r="H184" s="851"/>
      <c r="I184" s="851"/>
      <c r="J184" s="851"/>
      <c r="K184" s="851"/>
      <c r="L184" s="1183"/>
      <c r="M184" s="851"/>
      <c r="N184" s="853"/>
      <c r="O184" s="853"/>
      <c r="P184" s="851"/>
      <c r="Q184" s="854">
        <f>Q185+Q188</f>
        <v>990980000</v>
      </c>
      <c r="R184" s="854">
        <f>R185+R188</f>
        <v>953000000</v>
      </c>
      <c r="S184" s="854">
        <f>Q184-R184</f>
        <v>37980000</v>
      </c>
      <c r="T184" s="855">
        <f>S184/R184</f>
        <v>3.9853095487932845E-2</v>
      </c>
    </row>
    <row r="185" spans="1:22" ht="14.45" customHeight="1">
      <c r="A185" s="857"/>
      <c r="B185" s="848"/>
      <c r="C185" s="856"/>
      <c r="D185" s="1296" t="s">
        <v>268</v>
      </c>
      <c r="E185" s="1297"/>
      <c r="F185" s="1297"/>
      <c r="G185" s="1298"/>
      <c r="H185" s="1297"/>
      <c r="I185" s="1297"/>
      <c r="J185" s="1297"/>
      <c r="K185" s="1297"/>
      <c r="L185" s="1299"/>
      <c r="M185" s="1297"/>
      <c r="N185" s="1300"/>
      <c r="O185" s="1300"/>
      <c r="P185" s="1297"/>
      <c r="Q185" s="1301">
        <f>Q186</f>
        <v>0</v>
      </c>
      <c r="R185" s="1301">
        <f>SUM(R186)</f>
        <v>853000000</v>
      </c>
      <c r="S185" s="1301">
        <f>Q185-R185</f>
        <v>-853000000</v>
      </c>
      <c r="T185" s="1302">
        <f>S185/R185</f>
        <v>-1</v>
      </c>
    </row>
    <row r="186" spans="1:22" ht="14.45" customHeight="1">
      <c r="A186" s="857"/>
      <c r="B186" s="858"/>
      <c r="C186" s="859"/>
      <c r="D186" s="860"/>
      <c r="E186" s="861" t="s">
        <v>269</v>
      </c>
      <c r="F186" s="1303"/>
      <c r="G186" s="1304"/>
      <c r="H186" s="1303"/>
      <c r="I186" s="1303"/>
      <c r="J186" s="1303"/>
      <c r="K186" s="1303"/>
      <c r="L186" s="1305"/>
      <c r="M186" s="1303"/>
      <c r="N186" s="1306"/>
      <c r="O186" s="1306"/>
      <c r="P186" s="1303"/>
      <c r="Q186" s="374">
        <v>0</v>
      </c>
      <c r="R186" s="374">
        <v>853000000</v>
      </c>
      <c r="S186" s="374">
        <f>Q186-R186</f>
        <v>-853000000</v>
      </c>
      <c r="T186" s="864">
        <f>S186/R186</f>
        <v>-1</v>
      </c>
    </row>
    <row r="187" spans="1:22" ht="14.45" hidden="1" customHeight="1">
      <c r="A187" s="857"/>
      <c r="B187" s="858"/>
      <c r="C187" s="859"/>
      <c r="D187" s="858"/>
      <c r="E187" s="339"/>
      <c r="F187" s="1293"/>
      <c r="G187" s="865"/>
      <c r="H187" s="339"/>
      <c r="I187" s="339"/>
      <c r="J187" s="339"/>
      <c r="K187" s="339"/>
      <c r="L187" s="1216"/>
      <c r="M187" s="339"/>
      <c r="N187" s="866"/>
      <c r="O187" s="866"/>
      <c r="P187" s="867"/>
      <c r="Q187" s="1198"/>
      <c r="R187" s="1198"/>
      <c r="S187" s="1198"/>
      <c r="T187" s="1199"/>
    </row>
    <row r="188" spans="1:22" ht="14.45" customHeight="1">
      <c r="A188" s="857"/>
      <c r="B188" s="848"/>
      <c r="C188" s="856"/>
      <c r="D188" s="1296" t="s">
        <v>270</v>
      </c>
      <c r="E188" s="1297"/>
      <c r="F188" s="1307"/>
      <c r="G188" s="1298"/>
      <c r="H188" s="1297"/>
      <c r="I188" s="1297"/>
      <c r="J188" s="1297"/>
      <c r="K188" s="1297"/>
      <c r="L188" s="1299"/>
      <c r="M188" s="1297"/>
      <c r="N188" s="1300"/>
      <c r="O188" s="1300"/>
      <c r="P188" s="1297"/>
      <c r="Q188" s="1301">
        <f>Q189+Q209</f>
        <v>990980000</v>
      </c>
      <c r="R188" s="1301">
        <v>100000000</v>
      </c>
      <c r="S188" s="1301">
        <f>Q188-R188</f>
        <v>890980000</v>
      </c>
      <c r="T188" s="1302">
        <f>S188/R188</f>
        <v>8.9098000000000006</v>
      </c>
    </row>
    <row r="189" spans="1:22" ht="14.45" customHeight="1">
      <c r="A189" s="857"/>
      <c r="B189" s="858"/>
      <c r="C189" s="859"/>
      <c r="D189" s="860"/>
      <c r="E189" s="861" t="s">
        <v>271</v>
      </c>
      <c r="F189" s="1308"/>
      <c r="G189" s="1304"/>
      <c r="H189" s="1303"/>
      <c r="I189" s="1303"/>
      <c r="J189" s="1303"/>
      <c r="K189" s="1303"/>
      <c r="L189" s="1305"/>
      <c r="M189" s="1303"/>
      <c r="N189" s="1306"/>
      <c r="O189" s="1306"/>
      <c r="P189" s="1303"/>
      <c r="Q189" s="374">
        <f>P190+P193+P197+P201+P205</f>
        <v>66200000</v>
      </c>
      <c r="R189" s="374"/>
      <c r="S189" s="374">
        <f>Q189-R189</f>
        <v>66200000</v>
      </c>
      <c r="T189" s="864"/>
    </row>
    <row r="190" spans="1:22" s="1318" customFormat="1" ht="14.45" customHeight="1">
      <c r="A190" s="1309"/>
      <c r="B190" s="1310"/>
      <c r="C190" s="1311"/>
      <c r="D190" s="1310"/>
      <c r="E190" s="1311"/>
      <c r="F190" s="1312" t="s">
        <v>2322</v>
      </c>
      <c r="G190" s="1823"/>
      <c r="H190" s="1311"/>
      <c r="I190" s="1311"/>
      <c r="J190" s="1311"/>
      <c r="K190" s="1311"/>
      <c r="L190" s="1830"/>
      <c r="M190" s="1311"/>
      <c r="N190" s="1827"/>
      <c r="O190" s="1827"/>
      <c r="P190" s="1828">
        <f>SUM(P191:P192)</f>
        <v>6000000</v>
      </c>
      <c r="Q190" s="1315"/>
      <c r="R190" s="1316"/>
      <c r="S190" s="1315"/>
      <c r="T190" s="1317"/>
    </row>
    <row r="191" spans="1:22" s="1318" customFormat="1" ht="14.45" customHeight="1">
      <c r="A191" s="1309"/>
      <c r="B191" s="1310"/>
      <c r="C191" s="1311"/>
      <c r="D191" s="1310"/>
      <c r="E191" s="1311"/>
      <c r="F191" s="1329" t="s">
        <v>2615</v>
      </c>
      <c r="G191" s="1823">
        <v>500000</v>
      </c>
      <c r="H191" s="1311" t="s">
        <v>109</v>
      </c>
      <c r="I191" s="1625">
        <v>10</v>
      </c>
      <c r="J191" s="1311"/>
      <c r="K191" s="1311"/>
      <c r="L191" s="1830"/>
      <c r="M191" s="1311"/>
      <c r="N191" s="1827"/>
      <c r="O191" s="1827" t="s">
        <v>110</v>
      </c>
      <c r="P191" s="1831">
        <f>G191*I191</f>
        <v>5000000</v>
      </c>
      <c r="Q191" s="1315"/>
      <c r="R191" s="1316"/>
      <c r="S191" s="1315"/>
      <c r="T191" s="1317"/>
    </row>
    <row r="192" spans="1:22" s="1318" customFormat="1" ht="14.45" customHeight="1">
      <c r="A192" s="1319"/>
      <c r="B192" s="1320"/>
      <c r="C192" s="1321"/>
      <c r="D192" s="1320"/>
      <c r="E192" s="1321"/>
      <c r="F192" s="1322" t="s">
        <v>2616</v>
      </c>
      <c r="G192" s="1832">
        <v>500000</v>
      </c>
      <c r="H192" s="1321" t="s">
        <v>273</v>
      </c>
      <c r="I192" s="1833">
        <v>2</v>
      </c>
      <c r="J192" s="1222"/>
      <c r="K192" s="1222"/>
      <c r="L192" s="1834"/>
      <c r="M192" s="1222"/>
      <c r="N192" s="1264"/>
      <c r="O192" s="1835" t="s">
        <v>274</v>
      </c>
      <c r="P192" s="1836">
        <f>G192*I192</f>
        <v>1000000</v>
      </c>
      <c r="Q192" s="1326"/>
      <c r="R192" s="1327"/>
      <c r="S192" s="1326"/>
      <c r="T192" s="1328"/>
    </row>
    <row r="193" spans="1:20" s="1318" customFormat="1" ht="14.45" customHeight="1">
      <c r="A193" s="1309"/>
      <c r="B193" s="1310"/>
      <c r="C193" s="1311"/>
      <c r="D193" s="1310"/>
      <c r="E193" s="1311"/>
      <c r="F193" s="1312" t="s">
        <v>275</v>
      </c>
      <c r="G193" s="1823"/>
      <c r="H193" s="1311"/>
      <c r="I193" s="1311"/>
      <c r="J193" s="1311"/>
      <c r="K193" s="1311"/>
      <c r="L193" s="1830"/>
      <c r="M193" s="1311"/>
      <c r="N193" s="1827"/>
      <c r="O193" s="1827"/>
      <c r="P193" s="1828">
        <f>SUM(P194:P196)</f>
        <v>15000000</v>
      </c>
      <c r="Q193" s="1315"/>
      <c r="R193" s="1316"/>
      <c r="S193" s="1315"/>
      <c r="T193" s="1317"/>
    </row>
    <row r="194" spans="1:20" s="1318" customFormat="1" ht="14.45" customHeight="1">
      <c r="A194" s="1309"/>
      <c r="B194" s="1310"/>
      <c r="C194" s="1311"/>
      <c r="D194" s="1310"/>
      <c r="E194" s="1311"/>
      <c r="F194" s="1329" t="s">
        <v>276</v>
      </c>
      <c r="G194" s="1823">
        <v>300000</v>
      </c>
      <c r="H194" s="1311" t="s">
        <v>273</v>
      </c>
      <c r="I194" s="1837">
        <v>10</v>
      </c>
      <c r="J194" s="1311"/>
      <c r="K194" s="1311"/>
      <c r="L194" s="1830"/>
      <c r="M194" s="1311"/>
      <c r="N194" s="1827"/>
      <c r="O194" s="1827" t="s">
        <v>274</v>
      </c>
      <c r="P194" s="1829">
        <f>G194*I194</f>
        <v>3000000</v>
      </c>
      <c r="Q194" s="1315"/>
      <c r="R194" s="1316"/>
      <c r="S194" s="1315"/>
      <c r="T194" s="1317"/>
    </row>
    <row r="195" spans="1:20" s="1318" customFormat="1" ht="14.45" customHeight="1">
      <c r="A195" s="1309"/>
      <c r="B195" s="1310"/>
      <c r="C195" s="1311"/>
      <c r="D195" s="1310"/>
      <c r="E195" s="1311"/>
      <c r="F195" s="1329" t="s">
        <v>272</v>
      </c>
      <c r="G195" s="1823">
        <v>500000</v>
      </c>
      <c r="H195" s="1311" t="s">
        <v>273</v>
      </c>
      <c r="I195" s="1824">
        <v>20</v>
      </c>
      <c r="J195" s="1311"/>
      <c r="K195" s="1311"/>
      <c r="L195" s="1830"/>
      <c r="M195" s="1311"/>
      <c r="N195" s="1827"/>
      <c r="O195" s="1827" t="s">
        <v>274</v>
      </c>
      <c r="P195" s="1829">
        <f>G195*I195</f>
        <v>10000000</v>
      </c>
      <c r="Q195" s="1315"/>
      <c r="R195" s="1316"/>
      <c r="S195" s="1315"/>
      <c r="T195" s="1317"/>
    </row>
    <row r="196" spans="1:20" s="1318" customFormat="1" ht="14.45" customHeight="1">
      <c r="A196" s="1309"/>
      <c r="B196" s="1310"/>
      <c r="C196" s="1311"/>
      <c r="D196" s="1310"/>
      <c r="E196" s="1311"/>
      <c r="F196" s="1329" t="s">
        <v>279</v>
      </c>
      <c r="G196" s="1823">
        <v>400000</v>
      </c>
      <c r="H196" s="1311" t="s">
        <v>273</v>
      </c>
      <c r="I196" s="1824">
        <v>5</v>
      </c>
      <c r="J196" s="1311"/>
      <c r="K196" s="1311"/>
      <c r="L196" s="1830"/>
      <c r="M196" s="1311"/>
      <c r="N196" s="1827"/>
      <c r="O196" s="1827" t="s">
        <v>274</v>
      </c>
      <c r="P196" s="1829">
        <f>G196*I196</f>
        <v>2000000</v>
      </c>
      <c r="Q196" s="1315"/>
      <c r="R196" s="1316"/>
      <c r="S196" s="1315"/>
      <c r="T196" s="1317"/>
    </row>
    <row r="197" spans="1:20" s="1318" customFormat="1" ht="14.45" customHeight="1">
      <c r="A197" s="1309"/>
      <c r="B197" s="1310"/>
      <c r="C197" s="1311"/>
      <c r="D197" s="1310"/>
      <c r="E197" s="1331"/>
      <c r="F197" s="1312" t="s">
        <v>561</v>
      </c>
      <c r="G197" s="1823"/>
      <c r="H197" s="1311"/>
      <c r="I197" s="1824"/>
      <c r="J197" s="1311"/>
      <c r="K197" s="1825"/>
      <c r="L197" s="1826"/>
      <c r="M197" s="1825"/>
      <c r="N197" s="1827"/>
      <c r="O197" s="1827"/>
      <c r="P197" s="1828">
        <f>SUM(P198:P200)</f>
        <v>10000000</v>
      </c>
      <c r="Q197" s="1315"/>
      <c r="R197" s="1316"/>
      <c r="S197" s="1315"/>
      <c r="T197" s="1317"/>
    </row>
    <row r="198" spans="1:20" s="1318" customFormat="1" ht="14.45" customHeight="1">
      <c r="A198" s="1309"/>
      <c r="B198" s="1310"/>
      <c r="C198" s="1311"/>
      <c r="D198" s="1310"/>
      <c r="E198" s="1331"/>
      <c r="F198" s="1329" t="s">
        <v>2617</v>
      </c>
      <c r="G198" s="1823">
        <v>300000</v>
      </c>
      <c r="H198" s="1311" t="s">
        <v>273</v>
      </c>
      <c r="I198" s="1824">
        <v>10</v>
      </c>
      <c r="J198" s="1311"/>
      <c r="K198" s="1825"/>
      <c r="L198" s="1826"/>
      <c r="M198" s="1825"/>
      <c r="N198" s="1827"/>
      <c r="O198" s="1827" t="s">
        <v>274</v>
      </c>
      <c r="P198" s="1829">
        <f>G198*I198</f>
        <v>3000000</v>
      </c>
      <c r="Q198" s="1315"/>
      <c r="R198" s="1316"/>
      <c r="S198" s="1315"/>
      <c r="T198" s="1317"/>
    </row>
    <row r="199" spans="1:20" s="1318" customFormat="1" ht="14.45" customHeight="1">
      <c r="A199" s="1309"/>
      <c r="B199" s="1310"/>
      <c r="C199" s="1311"/>
      <c r="D199" s="1310"/>
      <c r="E199" s="1331"/>
      <c r="F199" s="1329" t="s">
        <v>2618</v>
      </c>
      <c r="G199" s="1823">
        <v>2500000</v>
      </c>
      <c r="H199" s="1311" t="s">
        <v>273</v>
      </c>
      <c r="I199" s="1824">
        <v>2</v>
      </c>
      <c r="J199" s="1311"/>
      <c r="K199" s="1825"/>
      <c r="L199" s="1826"/>
      <c r="M199" s="1825"/>
      <c r="N199" s="1827"/>
      <c r="O199" s="1827" t="s">
        <v>274</v>
      </c>
      <c r="P199" s="1829">
        <f t="shared" ref="P199:P200" si="0">G199*I199</f>
        <v>5000000</v>
      </c>
      <c r="Q199" s="1315"/>
      <c r="R199" s="1316"/>
      <c r="S199" s="1315"/>
      <c r="T199" s="1317"/>
    </row>
    <row r="200" spans="1:20" s="1318" customFormat="1" ht="14.45" customHeight="1">
      <c r="A200" s="1309"/>
      <c r="B200" s="1310"/>
      <c r="C200" s="1311"/>
      <c r="D200" s="1310"/>
      <c r="E200" s="1331"/>
      <c r="F200" s="1329" t="s">
        <v>2619</v>
      </c>
      <c r="G200" s="1823">
        <v>2000000</v>
      </c>
      <c r="H200" s="1311" t="s">
        <v>273</v>
      </c>
      <c r="I200" s="1824">
        <v>1</v>
      </c>
      <c r="J200" s="1311"/>
      <c r="K200" s="1825"/>
      <c r="L200" s="1826"/>
      <c r="M200" s="1825"/>
      <c r="N200" s="1827"/>
      <c r="O200" s="1827" t="s">
        <v>274</v>
      </c>
      <c r="P200" s="1829">
        <f t="shared" si="0"/>
        <v>2000000</v>
      </c>
      <c r="Q200" s="1315"/>
      <c r="R200" s="1316"/>
      <c r="S200" s="1315"/>
      <c r="T200" s="1317"/>
    </row>
    <row r="201" spans="1:20" s="1318" customFormat="1" ht="14.45" customHeight="1">
      <c r="A201" s="1309"/>
      <c r="B201" s="1310"/>
      <c r="C201" s="1311"/>
      <c r="D201" s="1310"/>
      <c r="E201" s="1331"/>
      <c r="F201" s="1312" t="s">
        <v>280</v>
      </c>
      <c r="G201" s="1823"/>
      <c r="H201" s="1311"/>
      <c r="I201" s="1824"/>
      <c r="J201" s="1311"/>
      <c r="K201" s="1825"/>
      <c r="L201" s="1826"/>
      <c r="M201" s="1825"/>
      <c r="N201" s="1827"/>
      <c r="O201" s="1827"/>
      <c r="P201" s="1197">
        <f>SUM(P202:P204)</f>
        <v>15200000</v>
      </c>
      <c r="Q201" s="1315"/>
      <c r="R201" s="1316"/>
      <c r="S201" s="1315"/>
      <c r="T201" s="1317"/>
    </row>
    <row r="202" spans="1:20" s="1318" customFormat="1" ht="14.45" customHeight="1">
      <c r="A202" s="1309"/>
      <c r="B202" s="1310"/>
      <c r="C202" s="1311"/>
      <c r="D202" s="1310"/>
      <c r="E202" s="1331"/>
      <c r="F202" s="1329" t="s">
        <v>272</v>
      </c>
      <c r="G202" s="1823">
        <v>4000000</v>
      </c>
      <c r="H202" s="1311" t="s">
        <v>273</v>
      </c>
      <c r="I202" s="1824">
        <v>3</v>
      </c>
      <c r="J202" s="1311"/>
      <c r="K202" s="1825"/>
      <c r="L202" s="1826"/>
      <c r="M202" s="1825"/>
      <c r="N202" s="1827"/>
      <c r="O202" s="1827" t="s">
        <v>283</v>
      </c>
      <c r="P202" s="1829">
        <f>G202*I202</f>
        <v>12000000</v>
      </c>
      <c r="Q202" s="1315"/>
      <c r="R202" s="1316"/>
      <c r="S202" s="1315"/>
      <c r="T202" s="1317"/>
    </row>
    <row r="203" spans="1:20" s="1318" customFormat="1" ht="14.45" customHeight="1">
      <c r="A203" s="1309"/>
      <c r="B203" s="1310"/>
      <c r="C203" s="1311"/>
      <c r="D203" s="1310"/>
      <c r="E203" s="1331"/>
      <c r="F203" s="1329" t="s">
        <v>279</v>
      </c>
      <c r="G203" s="1823">
        <v>1000000</v>
      </c>
      <c r="H203" s="1311" t="s">
        <v>273</v>
      </c>
      <c r="I203" s="1824">
        <v>3</v>
      </c>
      <c r="J203" s="1311"/>
      <c r="K203" s="1825"/>
      <c r="L203" s="1826"/>
      <c r="M203" s="1825"/>
      <c r="N203" s="1827"/>
      <c r="O203" s="1827" t="s">
        <v>274</v>
      </c>
      <c r="P203" s="1829">
        <f>G203*I203</f>
        <v>3000000</v>
      </c>
      <c r="Q203" s="1315"/>
      <c r="R203" s="1316"/>
      <c r="S203" s="1315"/>
      <c r="T203" s="1317"/>
    </row>
    <row r="204" spans="1:20" s="1318" customFormat="1" ht="14.45" customHeight="1">
      <c r="A204" s="1309"/>
      <c r="B204" s="1310"/>
      <c r="C204" s="1311"/>
      <c r="D204" s="1310"/>
      <c r="E204" s="1331"/>
      <c r="F204" s="1329" t="s">
        <v>562</v>
      </c>
      <c r="G204" s="1823">
        <v>200000</v>
      </c>
      <c r="H204" s="1311" t="s">
        <v>273</v>
      </c>
      <c r="I204" s="1824">
        <v>1</v>
      </c>
      <c r="J204" s="1311"/>
      <c r="K204" s="1825"/>
      <c r="L204" s="1826"/>
      <c r="M204" s="1825"/>
      <c r="N204" s="1827"/>
      <c r="O204" s="1827" t="s">
        <v>274</v>
      </c>
      <c r="P204" s="1829">
        <f>G204*I204</f>
        <v>200000</v>
      </c>
      <c r="Q204" s="1315"/>
      <c r="R204" s="1316"/>
      <c r="S204" s="1315"/>
      <c r="T204" s="1317"/>
    </row>
    <row r="205" spans="1:20" s="1318" customFormat="1" ht="14.45" customHeight="1">
      <c r="A205" s="1309"/>
      <c r="B205" s="1310"/>
      <c r="C205" s="1311"/>
      <c r="D205" s="1310"/>
      <c r="E205" s="1331"/>
      <c r="F205" s="1312" t="s">
        <v>563</v>
      </c>
      <c r="G205" s="1823"/>
      <c r="H205" s="1311"/>
      <c r="I205" s="1824"/>
      <c r="J205" s="1311"/>
      <c r="K205" s="1825"/>
      <c r="L205" s="1826"/>
      <c r="M205" s="1825"/>
      <c r="N205" s="1827"/>
      <c r="O205" s="1827"/>
      <c r="P205" s="1828">
        <f>SUM(P206:P208)</f>
        <v>20000000</v>
      </c>
      <c r="Q205" s="1315"/>
      <c r="R205" s="1316"/>
      <c r="S205" s="1315"/>
      <c r="T205" s="1317"/>
    </row>
    <row r="206" spans="1:20" s="1318" customFormat="1" ht="14.45" customHeight="1">
      <c r="A206" s="1309"/>
      <c r="B206" s="1310"/>
      <c r="C206" s="1311"/>
      <c r="D206" s="1310"/>
      <c r="E206" s="1331"/>
      <c r="F206" s="1329" t="s">
        <v>272</v>
      </c>
      <c r="G206" s="1823">
        <v>2000000</v>
      </c>
      <c r="H206" s="1311" t="s">
        <v>273</v>
      </c>
      <c r="I206" s="1824">
        <v>4</v>
      </c>
      <c r="J206" s="1311"/>
      <c r="K206" s="1825"/>
      <c r="L206" s="1826"/>
      <c r="M206" s="1825"/>
      <c r="N206" s="1827"/>
      <c r="O206" s="1827" t="s">
        <v>283</v>
      </c>
      <c r="P206" s="1829">
        <f>G206*I206</f>
        <v>8000000</v>
      </c>
      <c r="Q206" s="1315"/>
      <c r="R206" s="1316"/>
      <c r="S206" s="1315"/>
      <c r="T206" s="1317"/>
    </row>
    <row r="207" spans="1:20" s="1318" customFormat="1" ht="14.45" customHeight="1">
      <c r="A207" s="1309"/>
      <c r="B207" s="1310"/>
      <c r="C207" s="1311"/>
      <c r="D207" s="1310"/>
      <c r="E207" s="1331"/>
      <c r="F207" s="1329" t="s">
        <v>279</v>
      </c>
      <c r="G207" s="1823">
        <v>500000</v>
      </c>
      <c r="H207" s="1311" t="s">
        <v>273</v>
      </c>
      <c r="I207" s="1824">
        <v>4</v>
      </c>
      <c r="J207" s="1311"/>
      <c r="K207" s="1825"/>
      <c r="L207" s="1826"/>
      <c r="M207" s="1825"/>
      <c r="N207" s="1827"/>
      <c r="O207" s="1827" t="s">
        <v>274</v>
      </c>
      <c r="P207" s="1829">
        <f>G207*I207</f>
        <v>2000000</v>
      </c>
      <c r="Q207" s="1315"/>
      <c r="R207" s="1316"/>
      <c r="S207" s="1315"/>
      <c r="T207" s="1317"/>
    </row>
    <row r="208" spans="1:20" s="1318" customFormat="1" ht="14.45" customHeight="1">
      <c r="A208" s="1309"/>
      <c r="B208" s="1310"/>
      <c r="C208" s="1311"/>
      <c r="D208" s="1310"/>
      <c r="E208" s="1332"/>
      <c r="F208" s="1322" t="s">
        <v>564</v>
      </c>
      <c r="G208" s="1838">
        <v>10000000</v>
      </c>
      <c r="H208" s="1321" t="s">
        <v>277</v>
      </c>
      <c r="I208" s="1824">
        <v>1</v>
      </c>
      <c r="J208" s="1321"/>
      <c r="K208" s="1839"/>
      <c r="L208" s="1840"/>
      <c r="M208" s="1839"/>
      <c r="N208" s="1835"/>
      <c r="O208" s="1835" t="s">
        <v>283</v>
      </c>
      <c r="P208" s="1836">
        <f>G208*I208</f>
        <v>10000000</v>
      </c>
      <c r="Q208" s="1326"/>
      <c r="R208" s="1327"/>
      <c r="S208" s="1326"/>
      <c r="T208" s="1328"/>
    </row>
    <row r="209" spans="1:22" ht="14.45" customHeight="1">
      <c r="A209" s="1309"/>
      <c r="B209" s="1310"/>
      <c r="C209" s="1311"/>
      <c r="D209" s="1310"/>
      <c r="E209" s="1244" t="s">
        <v>1632</v>
      </c>
      <c r="F209" s="1336"/>
      <c r="G209" s="1337"/>
      <c r="H209" s="1338"/>
      <c r="I209" s="1338"/>
      <c r="J209" s="1338"/>
      <c r="K209" s="1338"/>
      <c r="L209" s="1339"/>
      <c r="M209" s="1338"/>
      <c r="N209" s="1340"/>
      <c r="O209" s="1340"/>
      <c r="P209" s="1338"/>
      <c r="Q209" s="1249">
        <f>P210+P215+P219+P224+P229+P232</f>
        <v>924780000</v>
      </c>
      <c r="R209" s="1249"/>
      <c r="S209" s="1249">
        <f>Q209-R209</f>
        <v>924780000</v>
      </c>
      <c r="T209" s="1250"/>
    </row>
    <row r="210" spans="1:22" s="1318" customFormat="1" ht="14.45" customHeight="1">
      <c r="A210" s="1309"/>
      <c r="B210" s="1310"/>
      <c r="C210" s="1311"/>
      <c r="D210" s="1310"/>
      <c r="E210" s="1311"/>
      <c r="F210" s="1312" t="s">
        <v>565</v>
      </c>
      <c r="G210" s="1823"/>
      <c r="H210" s="1311"/>
      <c r="I210" s="1824"/>
      <c r="J210" s="1311"/>
      <c r="K210" s="1825"/>
      <c r="L210" s="1826"/>
      <c r="M210" s="1825"/>
      <c r="N210" s="1827"/>
      <c r="O210" s="1827"/>
      <c r="P210" s="1828">
        <f>SUM(P211:P214)</f>
        <v>19280000</v>
      </c>
      <c r="Q210" s="1315"/>
      <c r="R210" s="1316"/>
      <c r="S210" s="1315"/>
      <c r="T210" s="1317"/>
    </row>
    <row r="211" spans="1:22" s="1318" customFormat="1" ht="14.45" customHeight="1">
      <c r="A211" s="1309"/>
      <c r="B211" s="1310"/>
      <c r="C211" s="1311"/>
      <c r="D211" s="1310"/>
      <c r="E211" s="1341"/>
      <c r="F211" s="1329" t="s">
        <v>276</v>
      </c>
      <c r="G211" s="1823">
        <v>2000000</v>
      </c>
      <c r="H211" s="1311" t="s">
        <v>273</v>
      </c>
      <c r="I211" s="1825">
        <v>4</v>
      </c>
      <c r="J211" s="1311"/>
      <c r="K211" s="1825"/>
      <c r="L211" s="1826"/>
      <c r="M211" s="1825"/>
      <c r="N211" s="1827"/>
      <c r="O211" s="1827" t="s">
        <v>274</v>
      </c>
      <c r="P211" s="1829">
        <f>G211*I211</f>
        <v>8000000</v>
      </c>
      <c r="Q211" s="1315"/>
      <c r="R211" s="1316"/>
      <c r="S211" s="1315"/>
      <c r="T211" s="1317"/>
      <c r="V211" s="1867"/>
    </row>
    <row r="212" spans="1:22" s="1318" customFormat="1" ht="14.45" customHeight="1">
      <c r="A212" s="1309"/>
      <c r="B212" s="1310"/>
      <c r="C212" s="1311"/>
      <c r="D212" s="1310"/>
      <c r="E212" s="1331"/>
      <c r="F212" s="1329" t="s">
        <v>272</v>
      </c>
      <c r="G212" s="1823">
        <v>1000000</v>
      </c>
      <c r="H212" s="1311" t="s">
        <v>277</v>
      </c>
      <c r="I212" s="1824">
        <v>4</v>
      </c>
      <c r="J212" s="1311"/>
      <c r="K212" s="1825"/>
      <c r="L212" s="1826"/>
      <c r="M212" s="1825"/>
      <c r="N212" s="1827"/>
      <c r="O212" s="1827" t="s">
        <v>283</v>
      </c>
      <c r="P212" s="1829">
        <f>G212*I212</f>
        <v>4000000</v>
      </c>
      <c r="Q212" s="1315"/>
      <c r="R212" s="1316"/>
      <c r="S212" s="1315"/>
      <c r="T212" s="1317"/>
    </row>
    <row r="213" spans="1:22" s="1318" customFormat="1" ht="14.45" customHeight="1">
      <c r="A213" s="1309"/>
      <c r="B213" s="1310"/>
      <c r="C213" s="1311"/>
      <c r="D213" s="1310"/>
      <c r="E213" s="1331"/>
      <c r="F213" s="1329" t="s">
        <v>2770</v>
      </c>
      <c r="G213" s="1823">
        <v>2500000</v>
      </c>
      <c r="H213" s="1311" t="s">
        <v>277</v>
      </c>
      <c r="I213" s="1824">
        <v>2</v>
      </c>
      <c r="J213" s="1311"/>
      <c r="K213" s="1825"/>
      <c r="L213" s="1826"/>
      <c r="M213" s="1825"/>
      <c r="N213" s="1827"/>
      <c r="O213" s="1827" t="s">
        <v>283</v>
      </c>
      <c r="P213" s="1829">
        <f>G213*I213</f>
        <v>5000000</v>
      </c>
      <c r="Q213" s="1315"/>
      <c r="R213" s="1316"/>
      <c r="S213" s="1315"/>
      <c r="T213" s="1317"/>
    </row>
    <row r="214" spans="1:22" s="1318" customFormat="1" ht="14.45" customHeight="1">
      <c r="A214" s="1309"/>
      <c r="B214" s="1310"/>
      <c r="C214" s="1311"/>
      <c r="D214" s="1310"/>
      <c r="E214" s="1331"/>
      <c r="F214" s="1329" t="s">
        <v>284</v>
      </c>
      <c r="G214" s="1823">
        <v>570000</v>
      </c>
      <c r="H214" s="1311" t="s">
        <v>277</v>
      </c>
      <c r="I214" s="1824">
        <v>4</v>
      </c>
      <c r="J214" s="1311"/>
      <c r="K214" s="1825"/>
      <c r="L214" s="1826"/>
      <c r="M214" s="1825"/>
      <c r="N214" s="1827"/>
      <c r="O214" s="1827" t="s">
        <v>283</v>
      </c>
      <c r="P214" s="1829">
        <f>G214*I214</f>
        <v>2280000</v>
      </c>
      <c r="Q214" s="1315"/>
      <c r="R214" s="1316"/>
      <c r="S214" s="1315"/>
      <c r="T214" s="1317"/>
    </row>
    <row r="215" spans="1:22" s="1318" customFormat="1" ht="14.45" customHeight="1">
      <c r="A215" s="1309"/>
      <c r="B215" s="1310"/>
      <c r="C215" s="1311"/>
      <c r="D215" s="1310"/>
      <c r="E215" s="1331"/>
      <c r="F215" s="1312" t="s">
        <v>285</v>
      </c>
      <c r="G215" s="1823"/>
      <c r="H215" s="1311"/>
      <c r="I215" s="1824"/>
      <c r="J215" s="1311"/>
      <c r="K215" s="1825"/>
      <c r="L215" s="1826"/>
      <c r="M215" s="1825"/>
      <c r="N215" s="1827"/>
      <c r="O215" s="1827"/>
      <c r="P215" s="1828">
        <f>SUM(P216:P218)</f>
        <v>20000000</v>
      </c>
      <c r="Q215" s="1315"/>
      <c r="R215" s="1316"/>
      <c r="S215" s="1315"/>
      <c r="T215" s="1317"/>
    </row>
    <row r="216" spans="1:22" s="1318" customFormat="1" ht="14.45" customHeight="1">
      <c r="A216" s="1309"/>
      <c r="B216" s="1310"/>
      <c r="C216" s="1311"/>
      <c r="D216" s="1310"/>
      <c r="E216" s="1331"/>
      <c r="F216" s="1329" t="s">
        <v>286</v>
      </c>
      <c r="G216" s="1823">
        <v>500000</v>
      </c>
      <c r="H216" s="1311" t="s">
        <v>273</v>
      </c>
      <c r="I216" s="1627">
        <v>12</v>
      </c>
      <c r="J216" s="1311"/>
      <c r="K216" s="1825"/>
      <c r="L216" s="1826"/>
      <c r="M216" s="1825"/>
      <c r="N216" s="1827"/>
      <c r="O216" s="1827" t="s">
        <v>283</v>
      </c>
      <c r="P216" s="1829">
        <f>G216*I216</f>
        <v>6000000</v>
      </c>
      <c r="Q216" s="1315"/>
      <c r="R216" s="1316"/>
      <c r="S216" s="1315"/>
      <c r="T216" s="1317"/>
    </row>
    <row r="217" spans="1:22" s="1318" customFormat="1" ht="14.45" customHeight="1">
      <c r="A217" s="1309"/>
      <c r="B217" s="1310"/>
      <c r="C217" s="1311"/>
      <c r="D217" s="1310"/>
      <c r="E217" s="1331"/>
      <c r="F217" s="1329" t="s">
        <v>287</v>
      </c>
      <c r="G217" s="1823">
        <v>12000000</v>
      </c>
      <c r="H217" s="1311" t="s">
        <v>277</v>
      </c>
      <c r="I217" s="1824">
        <v>1</v>
      </c>
      <c r="J217" s="1311"/>
      <c r="K217" s="1825"/>
      <c r="L217" s="1826"/>
      <c r="M217" s="1825"/>
      <c r="N217" s="1827"/>
      <c r="O217" s="1827" t="s">
        <v>274</v>
      </c>
      <c r="P217" s="1829">
        <f>G217*I217</f>
        <v>12000000</v>
      </c>
      <c r="Q217" s="1315"/>
      <c r="R217" s="1316"/>
      <c r="S217" s="1315"/>
      <c r="T217" s="1317"/>
    </row>
    <row r="218" spans="1:22" s="1318" customFormat="1" ht="14.45" customHeight="1">
      <c r="A218" s="1309"/>
      <c r="B218" s="1310"/>
      <c r="C218" s="1311"/>
      <c r="D218" s="1310"/>
      <c r="E218" s="1331"/>
      <c r="F218" s="1329" t="s">
        <v>284</v>
      </c>
      <c r="G218" s="1823">
        <v>400000</v>
      </c>
      <c r="H218" s="1311" t="s">
        <v>277</v>
      </c>
      <c r="I218" s="1824">
        <v>5</v>
      </c>
      <c r="J218" s="1311"/>
      <c r="K218" s="1825"/>
      <c r="L218" s="1826"/>
      <c r="M218" s="1825"/>
      <c r="N218" s="1827"/>
      <c r="O218" s="1827" t="s">
        <v>274</v>
      </c>
      <c r="P218" s="1829">
        <f>G218*I218</f>
        <v>2000000</v>
      </c>
      <c r="Q218" s="1315"/>
      <c r="R218" s="1316"/>
      <c r="S218" s="1315"/>
      <c r="T218" s="1317"/>
    </row>
    <row r="219" spans="1:22" s="1318" customFormat="1" ht="14.45" customHeight="1">
      <c r="A219" s="1309"/>
      <c r="B219" s="1310"/>
      <c r="C219" s="1311"/>
      <c r="D219" s="1310"/>
      <c r="E219" s="1331"/>
      <c r="F219" s="1312" t="s">
        <v>1633</v>
      </c>
      <c r="G219" s="1823"/>
      <c r="H219" s="1311"/>
      <c r="I219" s="1824"/>
      <c r="J219" s="1311"/>
      <c r="K219" s="1825"/>
      <c r="L219" s="1826"/>
      <c r="M219" s="1825"/>
      <c r="N219" s="1827"/>
      <c r="O219" s="1827"/>
      <c r="P219" s="1828">
        <f>SUM(P220:P223)</f>
        <v>13500000</v>
      </c>
      <c r="Q219" s="1315"/>
      <c r="R219" s="1316"/>
      <c r="S219" s="1315"/>
      <c r="T219" s="1317"/>
    </row>
    <row r="220" spans="1:22" s="1318" customFormat="1" ht="14.45" customHeight="1">
      <c r="A220" s="1309"/>
      <c r="B220" s="1310"/>
      <c r="C220" s="1311"/>
      <c r="D220" s="1310"/>
      <c r="E220" s="1331"/>
      <c r="F220" s="1329" t="s">
        <v>566</v>
      </c>
      <c r="G220" s="1823">
        <v>300000</v>
      </c>
      <c r="H220" s="1311" t="s">
        <v>273</v>
      </c>
      <c r="I220" s="1824">
        <v>5</v>
      </c>
      <c r="J220" s="1311"/>
      <c r="K220" s="1825"/>
      <c r="L220" s="1826"/>
      <c r="M220" s="1825"/>
      <c r="N220" s="1827"/>
      <c r="O220" s="1827" t="s">
        <v>274</v>
      </c>
      <c r="P220" s="1829">
        <f>G220*I220</f>
        <v>1500000</v>
      </c>
      <c r="Q220" s="1315"/>
      <c r="R220" s="1316"/>
      <c r="S220" s="1315"/>
      <c r="T220" s="1317"/>
    </row>
    <row r="221" spans="1:22" s="1318" customFormat="1" ht="14.45" customHeight="1">
      <c r="A221" s="1309"/>
      <c r="B221" s="1310"/>
      <c r="C221" s="1311"/>
      <c r="D221" s="1310"/>
      <c r="E221" s="1331"/>
      <c r="F221" s="1329" t="s">
        <v>2620</v>
      </c>
      <c r="G221" s="1823">
        <v>4000000</v>
      </c>
      <c r="H221" s="1311" t="s">
        <v>273</v>
      </c>
      <c r="I221" s="1824">
        <v>1</v>
      </c>
      <c r="J221" s="1311"/>
      <c r="K221" s="1825"/>
      <c r="L221" s="1826"/>
      <c r="M221" s="1825"/>
      <c r="N221" s="1827"/>
      <c r="O221" s="1827" t="s">
        <v>274</v>
      </c>
      <c r="P221" s="1829">
        <f>G221*I221</f>
        <v>4000000</v>
      </c>
      <c r="Q221" s="1315"/>
      <c r="R221" s="1316"/>
      <c r="S221" s="1315"/>
      <c r="T221" s="1317"/>
    </row>
    <row r="222" spans="1:22" s="1318" customFormat="1" ht="14.45" customHeight="1">
      <c r="A222" s="1309"/>
      <c r="B222" s="1310"/>
      <c r="C222" s="1311"/>
      <c r="D222" s="1310"/>
      <c r="E222" s="1331"/>
      <c r="F222" s="1329" t="s">
        <v>2621</v>
      </c>
      <c r="G222" s="1823">
        <v>500000</v>
      </c>
      <c r="H222" s="1311" t="s">
        <v>273</v>
      </c>
      <c r="I222" s="1824">
        <v>8</v>
      </c>
      <c r="J222" s="1311"/>
      <c r="K222" s="1825"/>
      <c r="L222" s="1826"/>
      <c r="M222" s="1825"/>
      <c r="N222" s="1827"/>
      <c r="O222" s="1827" t="s">
        <v>274</v>
      </c>
      <c r="P222" s="1829">
        <f>G222*I222</f>
        <v>4000000</v>
      </c>
      <c r="Q222" s="1315"/>
      <c r="R222" s="1316"/>
      <c r="S222" s="1315"/>
      <c r="T222" s="1317"/>
    </row>
    <row r="223" spans="1:22" s="1318" customFormat="1" ht="14.45" customHeight="1">
      <c r="A223" s="1309"/>
      <c r="B223" s="1310"/>
      <c r="C223" s="1311"/>
      <c r="D223" s="1310"/>
      <c r="E223" s="1331"/>
      <c r="F223" s="1329" t="s">
        <v>2622</v>
      </c>
      <c r="G223" s="1823">
        <v>4000000</v>
      </c>
      <c r="H223" s="1311" t="s">
        <v>273</v>
      </c>
      <c r="I223" s="1824">
        <v>1</v>
      </c>
      <c r="J223" s="1311"/>
      <c r="K223" s="1825"/>
      <c r="L223" s="1826"/>
      <c r="M223" s="1825"/>
      <c r="N223" s="1827"/>
      <c r="O223" s="1827" t="s">
        <v>274</v>
      </c>
      <c r="P223" s="1829">
        <f>G223*I223</f>
        <v>4000000</v>
      </c>
      <c r="Q223" s="1315"/>
      <c r="R223" s="1316"/>
      <c r="S223" s="1315"/>
      <c r="T223" s="1317"/>
    </row>
    <row r="224" spans="1:22" s="1318" customFormat="1" ht="14.45" customHeight="1">
      <c r="A224" s="1309"/>
      <c r="B224" s="1310"/>
      <c r="C224" s="1311"/>
      <c r="D224" s="1310"/>
      <c r="E224" s="1331"/>
      <c r="F224" s="1312" t="s">
        <v>567</v>
      </c>
      <c r="G224" s="1823"/>
      <c r="H224" s="1311"/>
      <c r="I224" s="1824"/>
      <c r="J224" s="1311"/>
      <c r="K224" s="1825"/>
      <c r="L224" s="1826"/>
      <c r="M224" s="1825"/>
      <c r="N224" s="1827"/>
      <c r="O224" s="1827"/>
      <c r="P224" s="1828">
        <f>SUM(P225:P228)</f>
        <v>853000000</v>
      </c>
      <c r="Q224" s="1315"/>
      <c r="R224" s="1316"/>
      <c r="S224" s="1315"/>
      <c r="T224" s="1317"/>
    </row>
    <row r="225" spans="1:20" s="1318" customFormat="1" ht="14.45" customHeight="1">
      <c r="A225" s="1309"/>
      <c r="B225" s="1310"/>
      <c r="C225" s="1311"/>
      <c r="D225" s="1310"/>
      <c r="E225" s="1331"/>
      <c r="F225" s="1329" t="s">
        <v>2771</v>
      </c>
      <c r="G225" s="1823">
        <v>20000000</v>
      </c>
      <c r="H225" s="1311" t="s">
        <v>277</v>
      </c>
      <c r="I225" s="1868">
        <v>42</v>
      </c>
      <c r="J225" s="1311"/>
      <c r="K225" s="1825"/>
      <c r="L225" s="1826"/>
      <c r="M225" s="1825"/>
      <c r="N225" s="1827"/>
      <c r="O225" s="1827" t="s">
        <v>274</v>
      </c>
      <c r="P225" s="1829">
        <f>G225*I225</f>
        <v>840000000</v>
      </c>
      <c r="Q225" s="1315"/>
      <c r="R225" s="1316"/>
      <c r="S225" s="1315"/>
      <c r="T225" s="1317"/>
    </row>
    <row r="226" spans="1:20" s="1318" customFormat="1" ht="14.45" customHeight="1">
      <c r="A226" s="1309"/>
      <c r="B226" s="1310"/>
      <c r="C226" s="1311"/>
      <c r="D226" s="1310"/>
      <c r="E226" s="1331"/>
      <c r="F226" s="1329" t="s">
        <v>2772</v>
      </c>
      <c r="G226" s="1823">
        <v>1500000</v>
      </c>
      <c r="H226" s="1311" t="s">
        <v>277</v>
      </c>
      <c r="I226" s="1824">
        <v>4</v>
      </c>
      <c r="J226" s="1311"/>
      <c r="K226" s="1825"/>
      <c r="L226" s="1826"/>
      <c r="M226" s="1825"/>
      <c r="N226" s="1827"/>
      <c r="O226" s="1827" t="s">
        <v>274</v>
      </c>
      <c r="P226" s="1829">
        <f>G226*I226</f>
        <v>6000000</v>
      </c>
      <c r="Q226" s="1315"/>
      <c r="R226" s="1316"/>
      <c r="S226" s="1315"/>
      <c r="T226" s="1317"/>
    </row>
    <row r="227" spans="1:20" s="1318" customFormat="1" ht="14.45" customHeight="1">
      <c r="A227" s="1309"/>
      <c r="B227" s="1310"/>
      <c r="C227" s="1311"/>
      <c r="D227" s="1310"/>
      <c r="E227" s="1331"/>
      <c r="F227" s="1329" t="s">
        <v>2773</v>
      </c>
      <c r="G227" s="1823">
        <v>200000</v>
      </c>
      <c r="H227" s="1311" t="s">
        <v>277</v>
      </c>
      <c r="I227" s="1837">
        <v>5</v>
      </c>
      <c r="J227" s="1311" t="s">
        <v>277</v>
      </c>
      <c r="K227" s="1824">
        <v>2</v>
      </c>
      <c r="L227" s="1826"/>
      <c r="M227" s="1825"/>
      <c r="N227" s="1827"/>
      <c r="O227" s="1827" t="s">
        <v>274</v>
      </c>
      <c r="P227" s="1829">
        <f>G227*I227*K227</f>
        <v>2000000</v>
      </c>
      <c r="Q227" s="1315"/>
      <c r="R227" s="1316"/>
      <c r="S227" s="1315"/>
      <c r="T227" s="1317"/>
    </row>
    <row r="228" spans="1:20" s="1318" customFormat="1" ht="14.45" customHeight="1">
      <c r="A228" s="1309"/>
      <c r="B228" s="1310"/>
      <c r="C228" s="1311"/>
      <c r="D228" s="1310"/>
      <c r="E228" s="1331"/>
      <c r="F228" s="1329" t="s">
        <v>2774</v>
      </c>
      <c r="G228" s="1823">
        <v>500000</v>
      </c>
      <c r="H228" s="1311" t="s">
        <v>277</v>
      </c>
      <c r="I228" s="1824">
        <v>10</v>
      </c>
      <c r="J228" s="1311"/>
      <c r="K228" s="1825"/>
      <c r="L228" s="1826"/>
      <c r="M228" s="1825"/>
      <c r="N228" s="1827"/>
      <c r="O228" s="1827" t="s">
        <v>274</v>
      </c>
      <c r="P228" s="1829">
        <f>G228*I228</f>
        <v>5000000</v>
      </c>
      <c r="Q228" s="1315"/>
      <c r="R228" s="1316"/>
      <c r="S228" s="1315"/>
      <c r="T228" s="1317"/>
    </row>
    <row r="229" spans="1:20" s="1318" customFormat="1" ht="14.45" customHeight="1">
      <c r="A229" s="1309"/>
      <c r="B229" s="1310"/>
      <c r="C229" s="1311"/>
      <c r="D229" s="1310"/>
      <c r="E229" s="1331"/>
      <c r="F229" s="1312" t="s">
        <v>1634</v>
      </c>
      <c r="G229" s="1823"/>
      <c r="H229" s="1311"/>
      <c r="I229" s="1824"/>
      <c r="J229" s="1311"/>
      <c r="K229" s="1825"/>
      <c r="L229" s="1826"/>
      <c r="M229" s="1825"/>
      <c r="N229" s="1827"/>
      <c r="O229" s="1827"/>
      <c r="P229" s="1828">
        <f>SUM(P230:P231)</f>
        <v>9000000</v>
      </c>
      <c r="Q229" s="1315"/>
      <c r="R229" s="1316"/>
      <c r="S229" s="1315"/>
      <c r="T229" s="1317"/>
    </row>
    <row r="230" spans="1:20" s="1318" customFormat="1" ht="14.45" customHeight="1">
      <c r="A230" s="1309"/>
      <c r="B230" s="1310"/>
      <c r="C230" s="1311"/>
      <c r="D230" s="1310"/>
      <c r="E230" s="1331"/>
      <c r="F230" s="1329" t="s">
        <v>278</v>
      </c>
      <c r="G230" s="1823">
        <v>500000</v>
      </c>
      <c r="H230" s="1311" t="s">
        <v>273</v>
      </c>
      <c r="I230" s="1824">
        <v>14</v>
      </c>
      <c r="J230" s="1311"/>
      <c r="K230" s="1825"/>
      <c r="L230" s="1826"/>
      <c r="M230" s="1825"/>
      <c r="N230" s="1827"/>
      <c r="O230" s="1827" t="s">
        <v>283</v>
      </c>
      <c r="P230" s="1829">
        <f>G230*I230</f>
        <v>7000000</v>
      </c>
      <c r="Q230" s="1315"/>
      <c r="R230" s="1316"/>
      <c r="S230" s="1315"/>
      <c r="T230" s="1317"/>
    </row>
    <row r="231" spans="1:20" s="1318" customFormat="1" ht="14.45" customHeight="1">
      <c r="A231" s="1309"/>
      <c r="B231" s="1310"/>
      <c r="C231" s="1311"/>
      <c r="D231" s="1310"/>
      <c r="E231" s="1331"/>
      <c r="F231" s="1329" t="s">
        <v>568</v>
      </c>
      <c r="G231" s="1823">
        <v>1000000</v>
      </c>
      <c r="H231" s="1311" t="s">
        <v>273</v>
      </c>
      <c r="I231" s="1824">
        <v>2</v>
      </c>
      <c r="J231" s="1311"/>
      <c r="K231" s="1825"/>
      <c r="L231" s="1826"/>
      <c r="M231" s="1825"/>
      <c r="N231" s="1827"/>
      <c r="O231" s="1827" t="s">
        <v>274</v>
      </c>
      <c r="P231" s="1829">
        <f>G231*I231</f>
        <v>2000000</v>
      </c>
      <c r="Q231" s="1315"/>
      <c r="R231" s="1316"/>
      <c r="S231" s="1315"/>
      <c r="T231" s="1317"/>
    </row>
    <row r="232" spans="1:20" s="1318" customFormat="1" ht="14.45" customHeight="1">
      <c r="A232" s="1309"/>
      <c r="B232" s="1310"/>
      <c r="C232" s="1311"/>
      <c r="D232" s="1310"/>
      <c r="E232" s="1331"/>
      <c r="F232" s="1312" t="s">
        <v>1635</v>
      </c>
      <c r="G232" s="1823"/>
      <c r="H232" s="1311"/>
      <c r="I232" s="1824"/>
      <c r="J232" s="1311"/>
      <c r="K232" s="1825"/>
      <c r="L232" s="1826"/>
      <c r="M232" s="1825"/>
      <c r="N232" s="1827"/>
      <c r="O232" s="1827"/>
      <c r="P232" s="1828">
        <f>SUM(P233:P235)</f>
        <v>10000000</v>
      </c>
      <c r="Q232" s="1315"/>
      <c r="R232" s="1316"/>
      <c r="S232" s="1315"/>
      <c r="T232" s="1317"/>
    </row>
    <row r="233" spans="1:20" s="1318" customFormat="1" ht="14.45" customHeight="1">
      <c r="A233" s="1309"/>
      <c r="B233" s="1310"/>
      <c r="C233" s="1311"/>
      <c r="D233" s="1310"/>
      <c r="E233" s="1331"/>
      <c r="F233" s="1329" t="s">
        <v>2623</v>
      </c>
      <c r="G233" s="1313">
        <v>300000</v>
      </c>
      <c r="H233" s="1231" t="s">
        <v>273</v>
      </c>
      <c r="I233" s="1822">
        <v>10</v>
      </c>
      <c r="J233" s="1231"/>
      <c r="K233" s="1233"/>
      <c r="L233" s="1234"/>
      <c r="M233" s="1233"/>
      <c r="N233" s="1314"/>
      <c r="O233" s="1314" t="s">
        <v>274</v>
      </c>
      <c r="P233" s="1268">
        <f>G233*I233</f>
        <v>3000000</v>
      </c>
      <c r="Q233" s="1315"/>
      <c r="R233" s="1316"/>
      <c r="S233" s="1315"/>
      <c r="T233" s="1317"/>
    </row>
    <row r="234" spans="1:20" s="1318" customFormat="1" ht="14.45" customHeight="1">
      <c r="A234" s="1309"/>
      <c r="B234" s="1310"/>
      <c r="C234" s="1311"/>
      <c r="D234" s="1310"/>
      <c r="E234" s="1331"/>
      <c r="F234" s="1329" t="s">
        <v>272</v>
      </c>
      <c r="G234" s="1313">
        <v>500000</v>
      </c>
      <c r="H234" s="1231" t="s">
        <v>273</v>
      </c>
      <c r="I234" s="1330">
        <v>10</v>
      </c>
      <c r="J234" s="1231"/>
      <c r="K234" s="1233"/>
      <c r="L234" s="1234"/>
      <c r="M234" s="1233"/>
      <c r="N234" s="1314"/>
      <c r="O234" s="1314" t="s">
        <v>274</v>
      </c>
      <c r="P234" s="1821">
        <f>G234*I234</f>
        <v>5000000</v>
      </c>
      <c r="Q234" s="1315"/>
      <c r="R234" s="1316"/>
      <c r="S234" s="1315"/>
      <c r="T234" s="1317"/>
    </row>
    <row r="235" spans="1:20" s="1318" customFormat="1" ht="14.45" customHeight="1">
      <c r="A235" s="1319"/>
      <c r="B235" s="1320"/>
      <c r="C235" s="1321"/>
      <c r="D235" s="1320"/>
      <c r="E235" s="1332"/>
      <c r="F235" s="1322" t="s">
        <v>279</v>
      </c>
      <c r="G235" s="1333">
        <v>500000</v>
      </c>
      <c r="H235" s="1323" t="s">
        <v>273</v>
      </c>
      <c r="I235" s="1330">
        <v>4</v>
      </c>
      <c r="J235" s="1323"/>
      <c r="K235" s="1334"/>
      <c r="L235" s="1335"/>
      <c r="M235" s="1334"/>
      <c r="N235" s="1324"/>
      <c r="O235" s="1324" t="s">
        <v>283</v>
      </c>
      <c r="P235" s="1325">
        <f>G235*I235</f>
        <v>2000000</v>
      </c>
      <c r="Q235" s="1326"/>
      <c r="R235" s="1327"/>
      <c r="S235" s="1326"/>
      <c r="T235" s="1328"/>
    </row>
    <row r="236" spans="1:20" s="196" customFormat="1" ht="14.45" customHeight="1">
      <c r="A236" s="224"/>
      <c r="B236" s="225"/>
      <c r="C236" s="206" t="s">
        <v>1406</v>
      </c>
      <c r="D236" s="206"/>
      <c r="E236" s="206"/>
      <c r="F236" s="207"/>
      <c r="G236" s="208"/>
      <c r="H236" s="209"/>
      <c r="I236" s="209"/>
      <c r="J236" s="209"/>
      <c r="K236" s="209"/>
      <c r="L236" s="581"/>
      <c r="M236" s="209"/>
      <c r="N236" s="210"/>
      <c r="O236" s="210"/>
      <c r="P236" s="209"/>
      <c r="Q236" s="211">
        <f>Q237</f>
        <v>720000</v>
      </c>
      <c r="R236" s="211">
        <f>R237</f>
        <v>0</v>
      </c>
      <c r="S236" s="211">
        <f>Q236-R236</f>
        <v>720000</v>
      </c>
      <c r="T236" s="212">
        <v>1</v>
      </c>
    </row>
    <row r="237" spans="1:20" s="196" customFormat="1" ht="14.45" customHeight="1">
      <c r="A237" s="224"/>
      <c r="B237" s="225"/>
      <c r="C237" s="213"/>
      <c r="D237" s="84" t="s">
        <v>1405</v>
      </c>
      <c r="E237" s="84"/>
      <c r="F237" s="85"/>
      <c r="G237" s="86"/>
      <c r="H237" s="84"/>
      <c r="I237" s="84"/>
      <c r="J237" s="84"/>
      <c r="K237" s="84"/>
      <c r="L237" s="83"/>
      <c r="M237" s="84"/>
      <c r="N237" s="87"/>
      <c r="O237" s="87"/>
      <c r="P237" s="84"/>
      <c r="Q237" s="76">
        <f>Q238</f>
        <v>720000</v>
      </c>
      <c r="R237" s="76">
        <f>R238</f>
        <v>0</v>
      </c>
      <c r="S237" s="76">
        <f>Q237-R237</f>
        <v>720000</v>
      </c>
      <c r="T237" s="77">
        <v>1</v>
      </c>
    </row>
    <row r="238" spans="1:20" s="196" customFormat="1" ht="14.45" customHeight="1">
      <c r="A238" s="224"/>
      <c r="B238" s="225"/>
      <c r="C238" s="222"/>
      <c r="D238" s="213"/>
      <c r="E238" s="66" t="s">
        <v>2362</v>
      </c>
      <c r="F238" s="227"/>
      <c r="G238" s="228"/>
      <c r="H238" s="66"/>
      <c r="I238" s="66"/>
      <c r="J238" s="66"/>
      <c r="K238" s="66"/>
      <c r="L238" s="229"/>
      <c r="M238" s="66"/>
      <c r="N238" s="230"/>
      <c r="O238" s="230"/>
      <c r="P238" s="66"/>
      <c r="Q238" s="171">
        <f>ROUNDUP(P239,-3)</f>
        <v>720000</v>
      </c>
      <c r="R238" s="171">
        <v>0</v>
      </c>
      <c r="S238" s="171">
        <f>Q238-R238</f>
        <v>720000</v>
      </c>
      <c r="T238" s="172">
        <v>1</v>
      </c>
    </row>
    <row r="239" spans="1:20" s="196" customFormat="1" ht="14.45" customHeight="1">
      <c r="A239" s="224"/>
      <c r="B239" s="225"/>
      <c r="C239" s="222"/>
      <c r="D239" s="222"/>
      <c r="E239" s="427"/>
      <c r="F239" s="240" t="s">
        <v>1640</v>
      </c>
      <c r="G239" s="249"/>
      <c r="H239" s="240"/>
      <c r="I239" s="240"/>
      <c r="J239" s="240"/>
      <c r="K239" s="240"/>
      <c r="L239" s="240"/>
      <c r="M239" s="240"/>
      <c r="N239" s="244"/>
      <c r="O239" s="251"/>
      <c r="P239" s="251">
        <f>P240</f>
        <v>720000</v>
      </c>
      <c r="Q239" s="428"/>
      <c r="R239" s="428"/>
      <c r="S239" s="428"/>
      <c r="T239" s="429"/>
    </row>
    <row r="240" spans="1:20" s="196" customFormat="1" ht="14.45" customHeight="1">
      <c r="A240" s="224"/>
      <c r="B240" s="225"/>
      <c r="C240" s="1342"/>
      <c r="D240" s="1342"/>
      <c r="E240" s="206"/>
      <c r="F240" s="1023" t="s">
        <v>928</v>
      </c>
      <c r="G240" s="579">
        <v>720000</v>
      </c>
      <c r="H240" s="283" t="s">
        <v>273</v>
      </c>
      <c r="I240" s="1343">
        <v>1</v>
      </c>
      <c r="J240" s="283"/>
      <c r="K240" s="284"/>
      <c r="L240" s="283"/>
      <c r="M240" s="283"/>
      <c r="N240" s="285"/>
      <c r="O240" s="285" t="s">
        <v>925</v>
      </c>
      <c r="P240" s="286">
        <f>G240*I240</f>
        <v>720000</v>
      </c>
      <c r="Q240" s="211"/>
      <c r="R240" s="211"/>
      <c r="S240" s="211"/>
      <c r="T240" s="212"/>
    </row>
    <row r="241" spans="1:20" ht="14.45" customHeight="1">
      <c r="A241" s="857"/>
      <c r="B241" s="848"/>
      <c r="C241" s="842" t="s">
        <v>569</v>
      </c>
      <c r="D241" s="841"/>
      <c r="E241" s="842"/>
      <c r="F241" s="1179"/>
      <c r="G241" s="844"/>
      <c r="H241" s="843"/>
      <c r="I241" s="843"/>
      <c r="J241" s="843"/>
      <c r="K241" s="843"/>
      <c r="L241" s="1180"/>
      <c r="M241" s="843"/>
      <c r="N241" s="845"/>
      <c r="O241" s="845"/>
      <c r="P241" s="843"/>
      <c r="Q241" s="846">
        <f>SUM(Q242)</f>
        <v>20000000</v>
      </c>
      <c r="R241" s="846">
        <f>SUM(R242)</f>
        <v>3173000</v>
      </c>
      <c r="S241" s="846">
        <f>Q241-R241</f>
        <v>16827000</v>
      </c>
      <c r="T241" s="1344">
        <f>S241/R241</f>
        <v>5.3031831074692724</v>
      </c>
    </row>
    <row r="242" spans="1:20" ht="14.45" customHeight="1">
      <c r="A242" s="857"/>
      <c r="B242" s="848"/>
      <c r="C242" s="856"/>
      <c r="D242" s="1296" t="s">
        <v>570</v>
      </c>
      <c r="E242" s="1297"/>
      <c r="F242" s="1307"/>
      <c r="G242" s="1298"/>
      <c r="H242" s="1297"/>
      <c r="I242" s="1297"/>
      <c r="J242" s="1297"/>
      <c r="K242" s="1297"/>
      <c r="L242" s="1299"/>
      <c r="M242" s="1297"/>
      <c r="N242" s="1300"/>
      <c r="O242" s="1300"/>
      <c r="P242" s="1297"/>
      <c r="Q242" s="1301">
        <f>SUM(Q243)</f>
        <v>20000000</v>
      </c>
      <c r="R242" s="1301">
        <f>SUM(R243)</f>
        <v>3173000</v>
      </c>
      <c r="S242" s="1301">
        <f>Q242-R242</f>
        <v>16827000</v>
      </c>
      <c r="T242" s="1345">
        <f>S242/R242</f>
        <v>5.3031831074692724</v>
      </c>
    </row>
    <row r="243" spans="1:20" ht="14.45" customHeight="1">
      <c r="A243" s="857"/>
      <c r="B243" s="858"/>
      <c r="C243" s="859"/>
      <c r="D243" s="860"/>
      <c r="E243" s="861" t="s">
        <v>2363</v>
      </c>
      <c r="F243" s="1191"/>
      <c r="G243" s="862"/>
      <c r="H243" s="861"/>
      <c r="I243" s="861"/>
      <c r="J243" s="861"/>
      <c r="K243" s="861"/>
      <c r="L243" s="1192"/>
      <c r="M243" s="861"/>
      <c r="N243" s="863"/>
      <c r="O243" s="863"/>
      <c r="P243" s="861"/>
      <c r="Q243" s="374">
        <f>P244</f>
        <v>20000000</v>
      </c>
      <c r="R243" s="374">
        <v>3173000</v>
      </c>
      <c r="S243" s="374">
        <f>Q243-R243</f>
        <v>16827000</v>
      </c>
      <c r="T243" s="864">
        <f>S243/R243</f>
        <v>5.3031831074692724</v>
      </c>
    </row>
    <row r="244" spans="1:20" ht="14.45" customHeight="1">
      <c r="A244" s="857"/>
      <c r="B244" s="858"/>
      <c r="C244" s="859"/>
      <c r="D244" s="858"/>
      <c r="E244" s="859"/>
      <c r="F244" s="1193" t="s">
        <v>571</v>
      </c>
      <c r="G244" s="865"/>
      <c r="H244" s="339"/>
      <c r="I244" s="339"/>
      <c r="J244" s="339"/>
      <c r="K244" s="339"/>
      <c r="L244" s="1216"/>
      <c r="M244" s="339"/>
      <c r="N244" s="866"/>
      <c r="O244" s="866"/>
      <c r="P244" s="867">
        <f>SUM(P245:P245)</f>
        <v>20000000</v>
      </c>
      <c r="Q244" s="388"/>
      <c r="R244" s="868"/>
      <c r="S244" s="388"/>
      <c r="T244" s="1206"/>
    </row>
    <row r="245" spans="1:20" ht="14.45" customHeight="1" thickBot="1">
      <c r="A245" s="900"/>
      <c r="B245" s="901"/>
      <c r="C245" s="902"/>
      <c r="D245" s="901"/>
      <c r="E245" s="1346"/>
      <c r="F245" s="1347" t="s">
        <v>572</v>
      </c>
      <c r="G245" s="904">
        <v>20000000</v>
      </c>
      <c r="H245" s="905" t="s">
        <v>109</v>
      </c>
      <c r="I245" s="906">
        <v>1</v>
      </c>
      <c r="J245" s="905"/>
      <c r="K245" s="1348"/>
      <c r="L245" s="1349"/>
      <c r="M245" s="1348"/>
      <c r="N245" s="907"/>
      <c r="O245" s="907" t="s">
        <v>110</v>
      </c>
      <c r="P245" s="908">
        <f>G245*I245</f>
        <v>20000000</v>
      </c>
      <c r="Q245" s="909"/>
      <c r="R245" s="910"/>
      <c r="S245" s="909"/>
      <c r="T245" s="1350"/>
    </row>
    <row r="246" spans="1:20" ht="14.45" hidden="1" customHeight="1">
      <c r="A246" s="857"/>
      <c r="B246" s="1351" t="s">
        <v>573</v>
      </c>
      <c r="C246" s="841"/>
      <c r="D246" s="1352"/>
      <c r="E246" s="1223"/>
      <c r="F246" s="1224"/>
      <c r="G246" s="1243"/>
      <c r="H246" s="895"/>
      <c r="I246" s="1271"/>
      <c r="J246" s="895"/>
      <c r="K246" s="1226"/>
      <c r="L246" s="1227"/>
      <c r="M246" s="1226"/>
      <c r="N246" s="896"/>
      <c r="O246" s="896"/>
      <c r="P246" s="897"/>
      <c r="Q246" s="846">
        <f t="shared" ref="Q246:R248" si="1">Q247</f>
        <v>0</v>
      </c>
      <c r="R246" s="846">
        <f t="shared" si="1"/>
        <v>0</v>
      </c>
      <c r="S246" s="586">
        <f>S247</f>
        <v>0</v>
      </c>
      <c r="T246" s="899" t="e">
        <f>T247</f>
        <v>#DIV/0!</v>
      </c>
    </row>
    <row r="247" spans="1:20" ht="14.45" hidden="1" customHeight="1">
      <c r="A247" s="857"/>
      <c r="B247" s="858"/>
      <c r="C247" s="1351" t="s">
        <v>574</v>
      </c>
      <c r="D247" s="1352"/>
      <c r="E247" s="1223"/>
      <c r="F247" s="1224"/>
      <c r="G247" s="1243"/>
      <c r="H247" s="895"/>
      <c r="I247" s="1271"/>
      <c r="J247" s="895"/>
      <c r="K247" s="1226"/>
      <c r="L247" s="1227"/>
      <c r="M247" s="1226"/>
      <c r="N247" s="896"/>
      <c r="O247" s="896"/>
      <c r="P247" s="897"/>
      <c r="Q247" s="846">
        <f t="shared" si="1"/>
        <v>0</v>
      </c>
      <c r="R247" s="846">
        <f t="shared" si="1"/>
        <v>0</v>
      </c>
      <c r="S247" s="586">
        <f>S248</f>
        <v>0</v>
      </c>
      <c r="T247" s="899" t="e">
        <f>T248</f>
        <v>#DIV/0!</v>
      </c>
    </row>
    <row r="248" spans="1:20" ht="14.45" hidden="1" customHeight="1">
      <c r="A248" s="857"/>
      <c r="B248" s="858"/>
      <c r="C248" s="826"/>
      <c r="D248" s="1353" t="s">
        <v>575</v>
      </c>
      <c r="E248" s="1353"/>
      <c r="F248" s="1354"/>
      <c r="G248" s="1355"/>
      <c r="H248" s="1353"/>
      <c r="I248" s="1353"/>
      <c r="J248" s="1353"/>
      <c r="K248" s="1353"/>
      <c r="L248" s="1356"/>
      <c r="M248" s="1353"/>
      <c r="N248" s="1357"/>
      <c r="O248" s="1357"/>
      <c r="P248" s="1353"/>
      <c r="Q248" s="1358">
        <f t="shared" si="1"/>
        <v>0</v>
      </c>
      <c r="R248" s="1358">
        <f t="shared" si="1"/>
        <v>0</v>
      </c>
      <c r="S248" s="1359">
        <f>Q248-R248</f>
        <v>0</v>
      </c>
      <c r="T248" s="1360" t="e">
        <f>T249</f>
        <v>#DIV/0!</v>
      </c>
    </row>
    <row r="249" spans="1:20" ht="14.45" hidden="1" customHeight="1">
      <c r="A249" s="857"/>
      <c r="B249" s="858"/>
      <c r="C249" s="859"/>
      <c r="D249" s="1361"/>
      <c r="E249" s="1362" t="s">
        <v>576</v>
      </c>
      <c r="F249" s="1363"/>
      <c r="G249" s="1364"/>
      <c r="H249" s="1365"/>
      <c r="I249" s="1365"/>
      <c r="J249" s="1365"/>
      <c r="K249" s="1365"/>
      <c r="L249" s="1366"/>
      <c r="M249" s="1365"/>
      <c r="N249" s="1367"/>
      <c r="O249" s="1367"/>
      <c r="P249" s="1365"/>
      <c r="Q249" s="1368">
        <f>P250</f>
        <v>0</v>
      </c>
      <c r="R249" s="1368"/>
      <c r="S249" s="1369">
        <f>Q249-R249</f>
        <v>0</v>
      </c>
      <c r="T249" s="1370" t="e">
        <f>S249/R249</f>
        <v>#DIV/0!</v>
      </c>
    </row>
    <row r="250" spans="1:20" ht="14.45" hidden="1" customHeight="1">
      <c r="A250" s="857"/>
      <c r="B250" s="858"/>
      <c r="C250" s="859"/>
      <c r="D250" s="858"/>
      <c r="E250" s="859"/>
      <c r="F250" s="1193" t="s">
        <v>577</v>
      </c>
      <c r="G250" s="865"/>
      <c r="H250" s="339"/>
      <c r="I250" s="339"/>
      <c r="J250" s="339"/>
      <c r="K250" s="339"/>
      <c r="L250" s="1216"/>
      <c r="M250" s="339"/>
      <c r="N250" s="866"/>
      <c r="O250" s="866"/>
      <c r="P250" s="867">
        <f>SUM(P251)</f>
        <v>0</v>
      </c>
      <c r="Q250" s="388"/>
      <c r="R250" s="868"/>
      <c r="S250" s="388"/>
      <c r="T250" s="1206"/>
    </row>
    <row r="251" spans="1:20" ht="14.45" hidden="1" customHeight="1" thickBot="1">
      <c r="A251" s="900"/>
      <c r="B251" s="901"/>
      <c r="C251" s="902"/>
      <c r="D251" s="901"/>
      <c r="E251" s="1346"/>
      <c r="F251" s="1347" t="s">
        <v>578</v>
      </c>
      <c r="G251" s="904"/>
      <c r="H251" s="905" t="s">
        <v>109</v>
      </c>
      <c r="I251" s="906"/>
      <c r="J251" s="905"/>
      <c r="K251" s="1348"/>
      <c r="L251" s="1349"/>
      <c r="M251" s="1348"/>
      <c r="N251" s="907"/>
      <c r="O251" s="907" t="s">
        <v>110</v>
      </c>
      <c r="P251" s="908">
        <f>ROUNDUP(G251*I251,-3)</f>
        <v>0</v>
      </c>
      <c r="Q251" s="909"/>
      <c r="R251" s="910"/>
      <c r="S251" s="909"/>
      <c r="T251" s="1350"/>
    </row>
    <row r="252" spans="1:20" ht="14.45" hidden="1" customHeight="1"/>
    <row r="253" spans="1:20" ht="15" hidden="1" customHeight="1"/>
    <row r="254" spans="1:20" ht="15" customHeight="1"/>
    <row r="255" spans="1:20" ht="15" customHeight="1"/>
  </sheetData>
  <mergeCells count="9">
    <mergeCell ref="I50:J50"/>
    <mergeCell ref="A1:T1"/>
    <mergeCell ref="S2:T2"/>
    <mergeCell ref="A3:E3"/>
    <mergeCell ref="G3:P4"/>
    <mergeCell ref="Q3:Q4"/>
    <mergeCell ref="R3:R4"/>
    <mergeCell ref="S3:S4"/>
    <mergeCell ref="T3:T4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scale="75" firstPageNumber="43" fitToHeight="0" orientation="landscape" useFirstPageNumber="1" horizontalDpi="4294967293" r:id="rId1"/>
  <headerFooter scaleWithDoc="0" alignWithMargins="0">
    <oddFooter>&amp;C&amp;"돋움,Regular"&amp;P</oddFooter>
  </headerFooter>
  <rowBreaks count="6" manualBreakCount="6">
    <brk id="39" max="19" man="1"/>
    <brk id="78" max="19" man="1"/>
    <brk id="115" max="19" man="1"/>
    <brk id="153" max="19" man="1"/>
    <brk id="192" max="19" man="1"/>
    <brk id="235" max="19" man="1"/>
  </rowBreaks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3399FF"/>
    <pageSetUpPr fitToPage="1"/>
  </sheetPr>
  <dimension ref="A1:AA288"/>
  <sheetViews>
    <sheetView view="pageBreakPreview" zoomScale="85" zoomScaleNormal="85" zoomScaleSheetLayoutView="85" workbookViewId="0">
      <pane ySplit="8" topLeftCell="A178" activePane="bottomLeft" state="frozen"/>
      <selection activeCell="V20" sqref="V20"/>
      <selection pane="bottomLeft" activeCell="V20" sqref="V20"/>
    </sheetView>
  </sheetViews>
  <sheetFormatPr defaultColWidth="9" defaultRowHeight="13.5"/>
  <cols>
    <col min="1" max="1" width="3.625" style="917" customWidth="1"/>
    <col min="2" max="4" width="3.625" style="916" customWidth="1"/>
    <col min="5" max="5" width="10.625" style="916" customWidth="1"/>
    <col min="6" max="6" width="37.5" style="1371" bestFit="1" customWidth="1"/>
    <col min="7" max="7" width="12.5" style="918" bestFit="1" customWidth="1"/>
    <col min="8" max="8" width="2.125" style="917" customWidth="1"/>
    <col min="9" max="9" width="5" style="917" customWidth="1"/>
    <col min="10" max="10" width="2.125" style="917" customWidth="1"/>
    <col min="11" max="11" width="5.875" style="917" customWidth="1"/>
    <col min="12" max="12" width="2.625" style="1437" customWidth="1"/>
    <col min="13" max="13" width="5.375" style="917" customWidth="1"/>
    <col min="14" max="14" width="2.75" style="919" customWidth="1"/>
    <col min="15" max="15" width="2.625" style="919" customWidth="1"/>
    <col min="16" max="16" width="13.625" style="917" customWidth="1"/>
    <col min="17" max="17" width="10.625" style="920" customWidth="1"/>
    <col min="18" max="19" width="10.625" style="921" customWidth="1"/>
    <col min="20" max="20" width="10.625" style="988" customWidth="1"/>
    <col min="21" max="21" width="12.5" style="917" customWidth="1"/>
    <col min="22" max="22" width="10" style="917" bestFit="1" customWidth="1"/>
    <col min="23" max="23" width="10.875" style="917" bestFit="1" customWidth="1"/>
    <col min="24" max="24" width="9" style="917"/>
    <col min="25" max="25" width="12.75" style="917" bestFit="1" customWidth="1"/>
    <col min="26" max="26" width="9.375" style="917" bestFit="1" customWidth="1"/>
    <col min="27" max="16384" width="9" style="917"/>
  </cols>
  <sheetData>
    <row r="1" spans="1:25" s="915" customFormat="1" ht="35.1" customHeight="1">
      <c r="A1" s="1952" t="s">
        <v>627</v>
      </c>
      <c r="B1" s="1952"/>
      <c r="C1" s="1952"/>
      <c r="D1" s="1952"/>
      <c r="E1" s="1952"/>
      <c r="F1" s="1952"/>
      <c r="G1" s="1952"/>
      <c r="H1" s="1952"/>
      <c r="I1" s="1952"/>
      <c r="J1" s="1952"/>
      <c r="K1" s="1952"/>
      <c r="L1" s="1952"/>
      <c r="M1" s="1952"/>
      <c r="N1" s="1952"/>
      <c r="O1" s="1952"/>
      <c r="P1" s="1952"/>
      <c r="Q1" s="1952"/>
      <c r="R1" s="1952"/>
      <c r="S1" s="1952"/>
      <c r="T1" s="1952"/>
    </row>
    <row r="2" spans="1:25" ht="15" customHeight="1" thickBot="1">
      <c r="A2" s="915" t="s">
        <v>628</v>
      </c>
      <c r="S2" s="1953" t="s">
        <v>629</v>
      </c>
      <c r="T2" s="1953"/>
    </row>
    <row r="3" spans="1:25" s="922" customFormat="1" ht="15" customHeight="1">
      <c r="A3" s="1990" t="s">
        <v>91</v>
      </c>
      <c r="B3" s="1939"/>
      <c r="C3" s="1939"/>
      <c r="D3" s="1939"/>
      <c r="E3" s="1939"/>
      <c r="F3" s="1753"/>
      <c r="G3" s="1940" t="s">
        <v>92</v>
      </c>
      <c r="H3" s="1940"/>
      <c r="I3" s="1940"/>
      <c r="J3" s="1940"/>
      <c r="K3" s="1940"/>
      <c r="L3" s="1940"/>
      <c r="M3" s="1940"/>
      <c r="N3" s="1940"/>
      <c r="O3" s="1940"/>
      <c r="P3" s="1941"/>
      <c r="Q3" s="1944" t="s">
        <v>93</v>
      </c>
      <c r="R3" s="1946" t="s">
        <v>94</v>
      </c>
      <c r="S3" s="1948" t="s">
        <v>95</v>
      </c>
      <c r="T3" s="1950" t="s">
        <v>96</v>
      </c>
    </row>
    <row r="4" spans="1:25" s="922" customFormat="1" ht="15" customHeight="1" thickBot="1">
      <c r="A4" s="1742" t="s">
        <v>97</v>
      </c>
      <c r="B4" s="1743" t="s">
        <v>98</v>
      </c>
      <c r="C4" s="1743" t="s">
        <v>99</v>
      </c>
      <c r="D4" s="1743" t="s">
        <v>100</v>
      </c>
      <c r="E4" s="1743" t="s">
        <v>101</v>
      </c>
      <c r="F4" s="1754" t="s">
        <v>102</v>
      </c>
      <c r="G4" s="1942"/>
      <c r="H4" s="1942"/>
      <c r="I4" s="1942"/>
      <c r="J4" s="1942"/>
      <c r="K4" s="1942"/>
      <c r="L4" s="1942"/>
      <c r="M4" s="1942"/>
      <c r="N4" s="1942"/>
      <c r="O4" s="1942"/>
      <c r="P4" s="1943"/>
      <c r="Q4" s="1945"/>
      <c r="R4" s="1947"/>
      <c r="S4" s="1949"/>
      <c r="T4" s="1951"/>
    </row>
    <row r="5" spans="1:25" s="926" customFormat="1" ht="15" customHeight="1" thickBot="1">
      <c r="A5" s="68" t="s">
        <v>630</v>
      </c>
      <c r="B5" s="69"/>
      <c r="C5" s="69"/>
      <c r="D5" s="69"/>
      <c r="E5" s="69"/>
      <c r="F5" s="70"/>
      <c r="G5" s="71"/>
      <c r="H5" s="72"/>
      <c r="I5" s="72"/>
      <c r="J5" s="72"/>
      <c r="K5" s="72"/>
      <c r="L5" s="73"/>
      <c r="M5" s="72"/>
      <c r="N5" s="74"/>
      <c r="O5" s="74"/>
      <c r="P5" s="72"/>
      <c r="Q5" s="75">
        <f>Q6</f>
        <v>1588140000</v>
      </c>
      <c r="R5" s="75">
        <f>R6</f>
        <v>1586392000</v>
      </c>
      <c r="S5" s="75">
        <f>Q5-R5</f>
        <v>1748000</v>
      </c>
      <c r="T5" s="203">
        <f t="shared" ref="T5:T8" si="0">S5/R5</f>
        <v>1.1018714163964518E-3</v>
      </c>
      <c r="W5" s="926">
        <v>1588140000</v>
      </c>
      <c r="Y5" s="1818">
        <f>Q5-W5</f>
        <v>0</v>
      </c>
    </row>
    <row r="6" spans="1:25" s="915" customFormat="1" ht="15" customHeight="1">
      <c r="A6" s="78"/>
      <c r="B6" s="181" t="s">
        <v>631</v>
      </c>
      <c r="C6" s="184"/>
      <c r="D6" s="184"/>
      <c r="E6" s="184"/>
      <c r="F6" s="182"/>
      <c r="G6" s="928"/>
      <c r="H6" s="927"/>
      <c r="I6" s="927"/>
      <c r="J6" s="927"/>
      <c r="K6" s="927"/>
      <c r="L6" s="1438"/>
      <c r="M6" s="927"/>
      <c r="N6" s="929"/>
      <c r="O6" s="929"/>
      <c r="P6" s="927"/>
      <c r="Q6" s="930">
        <f>Q7+Q124+Q173+Q270+Q277</f>
        <v>1588140000</v>
      </c>
      <c r="R6" s="930">
        <f>R7+R124+R173+R270+R277</f>
        <v>1586392000</v>
      </c>
      <c r="S6" s="930">
        <f>Q6-R6</f>
        <v>1748000</v>
      </c>
      <c r="T6" s="931">
        <f t="shared" si="0"/>
        <v>1.1018714163964518E-3</v>
      </c>
    </row>
    <row r="7" spans="1:25" s="915" customFormat="1" ht="15" customHeight="1">
      <c r="A7" s="78"/>
      <c r="B7" s="79"/>
      <c r="C7" s="174" t="s">
        <v>632</v>
      </c>
      <c r="D7" s="174"/>
      <c r="E7" s="174"/>
      <c r="F7" s="175"/>
      <c r="G7" s="933"/>
      <c r="H7" s="932"/>
      <c r="I7" s="932"/>
      <c r="J7" s="932"/>
      <c r="K7" s="932"/>
      <c r="L7" s="1439"/>
      <c r="M7" s="932"/>
      <c r="N7" s="934"/>
      <c r="O7" s="934"/>
      <c r="P7" s="932"/>
      <c r="Q7" s="935">
        <f>Q8+Q47</f>
        <v>796000000</v>
      </c>
      <c r="R7" s="935">
        <f>SUM(R8,R47)</f>
        <v>796000000</v>
      </c>
      <c r="S7" s="935">
        <f>Q7-R7</f>
        <v>0</v>
      </c>
      <c r="T7" s="936">
        <f t="shared" si="0"/>
        <v>0</v>
      </c>
    </row>
    <row r="8" spans="1:25" s="926" customFormat="1" ht="15" customHeight="1">
      <c r="A8" s="80"/>
      <c r="B8" s="81"/>
      <c r="C8" s="82"/>
      <c r="D8" s="83" t="s">
        <v>633</v>
      </c>
      <c r="E8" s="84"/>
      <c r="F8" s="85"/>
      <c r="G8" s="86"/>
      <c r="H8" s="84"/>
      <c r="I8" s="84"/>
      <c r="J8" s="84"/>
      <c r="K8" s="84"/>
      <c r="L8" s="83"/>
      <c r="M8" s="84"/>
      <c r="N8" s="87"/>
      <c r="O8" s="87"/>
      <c r="P8" s="84"/>
      <c r="Q8" s="76">
        <f>SUM(Q9:Q46)</f>
        <v>518616000</v>
      </c>
      <c r="R8" s="76">
        <f>SUM(R9:R46)</f>
        <v>501971000</v>
      </c>
      <c r="S8" s="76">
        <f>Q8-R8</f>
        <v>16645000</v>
      </c>
      <c r="T8" s="77">
        <f t="shared" si="0"/>
        <v>3.3159286094216596E-2</v>
      </c>
    </row>
    <row r="9" spans="1:25" ht="15" customHeight="1">
      <c r="A9" s="88"/>
      <c r="B9" s="89"/>
      <c r="C9" s="90"/>
      <c r="D9" s="89"/>
      <c r="E9" s="510" t="s">
        <v>634</v>
      </c>
      <c r="F9" s="515"/>
      <c r="G9" s="511"/>
      <c r="H9" s="510"/>
      <c r="I9" s="510"/>
      <c r="J9" s="510"/>
      <c r="K9" s="510"/>
      <c r="L9" s="512"/>
      <c r="M9" s="510"/>
      <c r="N9" s="513"/>
      <c r="O9" s="513"/>
      <c r="P9" s="510"/>
      <c r="Q9" s="171">
        <f>SUM(P10)</f>
        <v>299447000</v>
      </c>
      <c r="R9" s="171">
        <v>300109000</v>
      </c>
      <c r="S9" s="171">
        <f>Q9-R9</f>
        <v>-662000</v>
      </c>
      <c r="T9" s="172">
        <f>S9/R9</f>
        <v>-2.2058652023098273E-3</v>
      </c>
    </row>
    <row r="10" spans="1:25" ht="15" customHeight="1">
      <c r="A10" s="88"/>
      <c r="B10" s="89"/>
      <c r="C10" s="90"/>
      <c r="D10" s="89"/>
      <c r="E10" s="90"/>
      <c r="F10" s="96" t="s">
        <v>635</v>
      </c>
      <c r="G10" s="97"/>
      <c r="H10" s="90"/>
      <c r="I10" s="90"/>
      <c r="J10" s="90"/>
      <c r="K10" s="90"/>
      <c r="L10" s="98"/>
      <c r="M10" s="90"/>
      <c r="N10" s="99"/>
      <c r="O10" s="99"/>
      <c r="P10" s="938">
        <f>SUM(P11:P13)</f>
        <v>299447000</v>
      </c>
      <c r="Q10" s="101"/>
      <c r="R10" s="101"/>
      <c r="S10" s="101"/>
      <c r="T10" s="102"/>
    </row>
    <row r="11" spans="1:25" ht="15" customHeight="1">
      <c r="A11" s="88"/>
      <c r="B11" s="89"/>
      <c r="C11" s="90"/>
      <c r="D11" s="89"/>
      <c r="E11" s="122"/>
      <c r="F11" s="126" t="s">
        <v>372</v>
      </c>
      <c r="G11" s="239">
        <v>3870900</v>
      </c>
      <c r="H11" s="106" t="s">
        <v>636</v>
      </c>
      <c r="I11" s="107">
        <v>1</v>
      </c>
      <c r="J11" s="106" t="s">
        <v>109</v>
      </c>
      <c r="K11" s="108">
        <v>12</v>
      </c>
      <c r="L11" s="109"/>
      <c r="M11" s="108"/>
      <c r="N11" s="110"/>
      <c r="O11" s="110" t="s">
        <v>281</v>
      </c>
      <c r="P11" s="111">
        <f>ROUNDUP(G11*I11*K11,-3)</f>
        <v>46451000</v>
      </c>
      <c r="Q11" s="112"/>
      <c r="R11" s="131"/>
      <c r="S11" s="112"/>
      <c r="T11" s="113"/>
    </row>
    <row r="12" spans="1:25" ht="15" customHeight="1">
      <c r="A12" s="88"/>
      <c r="B12" s="89"/>
      <c r="C12" s="90"/>
      <c r="D12" s="89"/>
      <c r="E12" s="103"/>
      <c r="F12" s="104" t="s">
        <v>637</v>
      </c>
      <c r="G12" s="239">
        <v>2875500</v>
      </c>
      <c r="H12" s="106" t="s">
        <v>277</v>
      </c>
      <c r="I12" s="107">
        <v>2</v>
      </c>
      <c r="J12" s="106" t="s">
        <v>109</v>
      </c>
      <c r="K12" s="108">
        <v>12</v>
      </c>
      <c r="L12" s="109"/>
      <c r="M12" s="108"/>
      <c r="N12" s="110"/>
      <c r="O12" s="110" t="s">
        <v>638</v>
      </c>
      <c r="P12" s="111">
        <f>ROUNDUP(G12*I12*K12,-3)</f>
        <v>69012000</v>
      </c>
      <c r="Q12" s="112"/>
      <c r="R12" s="131"/>
      <c r="S12" s="112"/>
      <c r="T12" s="113"/>
    </row>
    <row r="13" spans="1:25" ht="15" customHeight="1">
      <c r="A13" s="88"/>
      <c r="B13" s="89"/>
      <c r="C13" s="90"/>
      <c r="D13" s="89"/>
      <c r="E13" s="103"/>
      <c r="F13" s="104" t="s">
        <v>639</v>
      </c>
      <c r="G13" s="239">
        <v>1916500</v>
      </c>
      <c r="H13" s="106" t="s">
        <v>282</v>
      </c>
      <c r="I13" s="107">
        <v>8</v>
      </c>
      <c r="J13" s="106" t="s">
        <v>109</v>
      </c>
      <c r="K13" s="108">
        <v>12</v>
      </c>
      <c r="L13" s="109"/>
      <c r="M13" s="108"/>
      <c r="N13" s="110"/>
      <c r="O13" s="110" t="s">
        <v>638</v>
      </c>
      <c r="P13" s="111">
        <f>ROUNDUP(G13*I13*K13,-3)</f>
        <v>183984000</v>
      </c>
      <c r="Q13" s="112"/>
      <c r="R13" s="131"/>
      <c r="S13" s="112"/>
      <c r="T13" s="113"/>
      <c r="W13" s="945"/>
    </row>
    <row r="14" spans="1:25" ht="15" customHeight="1">
      <c r="A14" s="88"/>
      <c r="B14" s="89"/>
      <c r="C14" s="90"/>
      <c r="D14" s="89"/>
      <c r="E14" s="510" t="s">
        <v>640</v>
      </c>
      <c r="F14" s="515"/>
      <c r="G14" s="511"/>
      <c r="H14" s="510"/>
      <c r="I14" s="510"/>
      <c r="J14" s="510"/>
      <c r="K14" s="510"/>
      <c r="L14" s="512"/>
      <c r="M14" s="510"/>
      <c r="N14" s="513"/>
      <c r="O14" s="513"/>
      <c r="P14" s="510"/>
      <c r="Q14" s="171">
        <f>P15+P19+P23+P25+P27+P29+P38+P42+P33</f>
        <v>179275000</v>
      </c>
      <c r="R14" s="171">
        <v>163248000</v>
      </c>
      <c r="S14" s="171">
        <f>Q14-R14</f>
        <v>16027000</v>
      </c>
      <c r="T14" s="172">
        <f t="shared" ref="T14:T70" si="1">S14/R14</f>
        <v>9.8175781632853079E-2</v>
      </c>
    </row>
    <row r="15" spans="1:25" ht="15" customHeight="1">
      <c r="A15" s="88"/>
      <c r="B15" s="89"/>
      <c r="C15" s="90"/>
      <c r="D15" s="89"/>
      <c r="E15" s="90"/>
      <c r="F15" s="96" t="s">
        <v>504</v>
      </c>
      <c r="G15" s="114"/>
      <c r="H15" s="115"/>
      <c r="I15" s="115"/>
      <c r="J15" s="115"/>
      <c r="K15" s="115"/>
      <c r="L15" s="116"/>
      <c r="M15" s="115"/>
      <c r="N15" s="117"/>
      <c r="O15" s="117"/>
      <c r="P15" s="938">
        <f>SUM(P16:P18)</f>
        <v>16860000</v>
      </c>
      <c r="Q15" s="119"/>
      <c r="R15" s="119"/>
      <c r="S15" s="119"/>
      <c r="T15" s="120"/>
      <c r="W15" s="945"/>
    </row>
    <row r="16" spans="1:25" ht="15" customHeight="1">
      <c r="A16" s="88"/>
      <c r="B16" s="89"/>
      <c r="C16" s="90"/>
      <c r="D16" s="89"/>
      <c r="E16" s="122"/>
      <c r="F16" s="126" t="s">
        <v>641</v>
      </c>
      <c r="G16" s="123">
        <v>155000</v>
      </c>
      <c r="H16" s="106" t="s">
        <v>636</v>
      </c>
      <c r="I16" s="107">
        <v>1</v>
      </c>
      <c r="J16" s="106" t="s">
        <v>109</v>
      </c>
      <c r="K16" s="108">
        <v>12</v>
      </c>
      <c r="L16" s="106"/>
      <c r="M16" s="106"/>
      <c r="N16" s="106"/>
      <c r="O16" s="110" t="s">
        <v>281</v>
      </c>
      <c r="P16" s="111">
        <f>ROUNDUP(G16*I16*K16,-3)</f>
        <v>1860000</v>
      </c>
      <c r="Q16" s="112"/>
      <c r="R16" s="131"/>
      <c r="S16" s="112"/>
      <c r="T16" s="113"/>
      <c r="W16" s="945"/>
    </row>
    <row r="17" spans="1:23" ht="15" customHeight="1">
      <c r="A17" s="88"/>
      <c r="B17" s="89"/>
      <c r="C17" s="90"/>
      <c r="D17" s="89"/>
      <c r="E17" s="122"/>
      <c r="F17" s="104" t="s">
        <v>637</v>
      </c>
      <c r="G17" s="121">
        <v>125000</v>
      </c>
      <c r="H17" s="106" t="s">
        <v>636</v>
      </c>
      <c r="I17" s="107">
        <v>2</v>
      </c>
      <c r="J17" s="106" t="s">
        <v>109</v>
      </c>
      <c r="K17" s="108">
        <v>12</v>
      </c>
      <c r="L17" s="109"/>
      <c r="M17" s="108"/>
      <c r="N17" s="110"/>
      <c r="O17" s="110" t="s">
        <v>283</v>
      </c>
      <c r="P17" s="111">
        <f>ROUNDUP(G17*I17*K17,-3)</f>
        <v>3000000</v>
      </c>
      <c r="Q17" s="112"/>
      <c r="R17" s="131"/>
      <c r="S17" s="112"/>
      <c r="T17" s="113"/>
      <c r="W17" s="945"/>
    </row>
    <row r="18" spans="1:23" ht="15" customHeight="1">
      <c r="A18" s="88"/>
      <c r="B18" s="89"/>
      <c r="C18" s="90"/>
      <c r="D18" s="89"/>
      <c r="E18" s="103"/>
      <c r="F18" s="104" t="s">
        <v>639</v>
      </c>
      <c r="G18" s="121">
        <v>125000</v>
      </c>
      <c r="H18" s="106" t="s">
        <v>636</v>
      </c>
      <c r="I18" s="107">
        <v>8</v>
      </c>
      <c r="J18" s="106" t="s">
        <v>109</v>
      </c>
      <c r="K18" s="108">
        <v>12</v>
      </c>
      <c r="L18" s="109"/>
      <c r="M18" s="108"/>
      <c r="N18" s="110"/>
      <c r="O18" s="110" t="s">
        <v>283</v>
      </c>
      <c r="P18" s="111">
        <f>ROUNDUP(G18*I18*K18,-3)</f>
        <v>12000000</v>
      </c>
      <c r="Q18" s="112"/>
      <c r="R18" s="131"/>
      <c r="S18" s="112"/>
      <c r="T18" s="113"/>
    </row>
    <row r="19" spans="1:23" ht="15" customHeight="1">
      <c r="A19" s="88"/>
      <c r="B19" s="89"/>
      <c r="C19" s="90"/>
      <c r="D19" s="89"/>
      <c r="E19" s="122"/>
      <c r="F19" s="96" t="s">
        <v>642</v>
      </c>
      <c r="G19" s="123"/>
      <c r="H19" s="106"/>
      <c r="I19" s="106"/>
      <c r="J19" s="106"/>
      <c r="K19" s="106"/>
      <c r="L19" s="124"/>
      <c r="M19" s="106"/>
      <c r="N19" s="110"/>
      <c r="O19" s="110"/>
      <c r="P19" s="938">
        <f>SUM(P20:P22)</f>
        <v>4560000</v>
      </c>
      <c r="Q19" s="112"/>
      <c r="R19" s="131"/>
      <c r="S19" s="112"/>
      <c r="T19" s="113"/>
    </row>
    <row r="20" spans="1:23" ht="15" customHeight="1">
      <c r="A20" s="88"/>
      <c r="B20" s="89"/>
      <c r="C20" s="90"/>
      <c r="D20" s="89"/>
      <c r="E20" s="103"/>
      <c r="F20" s="104" t="s">
        <v>643</v>
      </c>
      <c r="G20" s="121">
        <v>40000</v>
      </c>
      <c r="H20" s="106" t="s">
        <v>636</v>
      </c>
      <c r="I20" s="107">
        <v>5</v>
      </c>
      <c r="J20" s="106" t="s">
        <v>109</v>
      </c>
      <c r="K20" s="108">
        <v>12</v>
      </c>
      <c r="L20" s="109"/>
      <c r="M20" s="108"/>
      <c r="N20" s="110"/>
      <c r="O20" s="110" t="s">
        <v>283</v>
      </c>
      <c r="P20" s="111">
        <f>ROUNDUP(G20*I20*K20,-3)</f>
        <v>2400000</v>
      </c>
      <c r="Q20" s="112"/>
      <c r="R20" s="131"/>
      <c r="S20" s="112"/>
      <c r="T20" s="113"/>
    </row>
    <row r="21" spans="1:23" ht="15" customHeight="1">
      <c r="A21" s="88"/>
      <c r="B21" s="89"/>
      <c r="C21" s="90"/>
      <c r="D21" s="89"/>
      <c r="E21" s="103"/>
      <c r="F21" s="104" t="s">
        <v>644</v>
      </c>
      <c r="G21" s="121">
        <v>20000</v>
      </c>
      <c r="H21" s="106" t="s">
        <v>636</v>
      </c>
      <c r="I21" s="107">
        <v>3</v>
      </c>
      <c r="J21" s="106" t="s">
        <v>109</v>
      </c>
      <c r="K21" s="108">
        <v>12</v>
      </c>
      <c r="L21" s="109"/>
      <c r="M21" s="108"/>
      <c r="N21" s="110"/>
      <c r="O21" s="110" t="s">
        <v>283</v>
      </c>
      <c r="P21" s="111">
        <f>ROUNDUP(G21*I21*K21,-3)</f>
        <v>720000</v>
      </c>
      <c r="Q21" s="112"/>
      <c r="R21" s="131"/>
      <c r="S21" s="112"/>
      <c r="T21" s="113"/>
    </row>
    <row r="22" spans="1:23" ht="15" customHeight="1">
      <c r="A22" s="88"/>
      <c r="B22" s="89"/>
      <c r="C22" s="90"/>
      <c r="D22" s="89"/>
      <c r="E22" s="103"/>
      <c r="F22" s="104" t="s">
        <v>645</v>
      </c>
      <c r="G22" s="121">
        <v>60000</v>
      </c>
      <c r="H22" s="106" t="s">
        <v>277</v>
      </c>
      <c r="I22" s="107">
        <v>2</v>
      </c>
      <c r="J22" s="106" t="s">
        <v>109</v>
      </c>
      <c r="K22" s="108">
        <v>12</v>
      </c>
      <c r="L22" s="109"/>
      <c r="M22" s="108"/>
      <c r="N22" s="110"/>
      <c r="O22" s="110" t="s">
        <v>283</v>
      </c>
      <c r="P22" s="111">
        <f>ROUNDUP(G22*I22*K22,-3)</f>
        <v>1440000</v>
      </c>
      <c r="Q22" s="112"/>
      <c r="R22" s="131"/>
      <c r="S22" s="112"/>
      <c r="T22" s="113"/>
    </row>
    <row r="23" spans="1:23" ht="15" customHeight="1">
      <c r="A23" s="88"/>
      <c r="B23" s="89"/>
      <c r="C23" s="90"/>
      <c r="D23" s="89"/>
      <c r="E23" s="122"/>
      <c r="F23" s="96" t="s">
        <v>367</v>
      </c>
      <c r="G23" s="123"/>
      <c r="H23" s="106"/>
      <c r="I23" s="106"/>
      <c r="J23" s="106"/>
      <c r="K23" s="106"/>
      <c r="L23" s="124"/>
      <c r="M23" s="106"/>
      <c r="N23" s="110"/>
      <c r="O23" s="110"/>
      <c r="P23" s="938">
        <f>SUM(P24:P24)</f>
        <v>17160000</v>
      </c>
      <c r="Q23" s="112"/>
      <c r="R23" s="131"/>
      <c r="S23" s="112"/>
      <c r="T23" s="113"/>
    </row>
    <row r="24" spans="1:23" ht="15" customHeight="1">
      <c r="A24" s="88"/>
      <c r="B24" s="89"/>
      <c r="C24" s="90"/>
      <c r="D24" s="89"/>
      <c r="E24" s="103"/>
      <c r="F24" s="126" t="s">
        <v>368</v>
      </c>
      <c r="G24" s="121">
        <v>130000</v>
      </c>
      <c r="H24" s="106" t="s">
        <v>277</v>
      </c>
      <c r="I24" s="107">
        <v>11</v>
      </c>
      <c r="J24" s="106" t="s">
        <v>109</v>
      </c>
      <c r="K24" s="108">
        <v>12</v>
      </c>
      <c r="L24" s="109"/>
      <c r="M24" s="108"/>
      <c r="N24" s="110"/>
      <c r="O24" s="110" t="s">
        <v>638</v>
      </c>
      <c r="P24" s="111">
        <f>ROUNDUP(G24*I24*K24,-3)</f>
        <v>17160000</v>
      </c>
      <c r="Q24" s="112"/>
      <c r="R24" s="131"/>
      <c r="S24" s="112"/>
      <c r="T24" s="113"/>
    </row>
    <row r="25" spans="1:23" ht="15" customHeight="1">
      <c r="A25" s="88"/>
      <c r="B25" s="89"/>
      <c r="C25" s="90"/>
      <c r="D25" s="89"/>
      <c r="E25" s="122"/>
      <c r="F25" s="96" t="s">
        <v>369</v>
      </c>
      <c r="G25" s="123"/>
      <c r="H25" s="106"/>
      <c r="I25" s="106"/>
      <c r="J25" s="106"/>
      <c r="K25" s="106"/>
      <c r="L25" s="124"/>
      <c r="M25" s="106"/>
      <c r="N25" s="110"/>
      <c r="O25" s="110"/>
      <c r="P25" s="938">
        <f>SUM(P26:P26)</f>
        <v>3960000</v>
      </c>
      <c r="Q25" s="112"/>
      <c r="R25" s="131"/>
      <c r="S25" s="112"/>
      <c r="T25" s="113"/>
      <c r="W25" s="945"/>
    </row>
    <row r="26" spans="1:23" ht="15" customHeight="1">
      <c r="A26" s="88"/>
      <c r="B26" s="89"/>
      <c r="C26" s="90"/>
      <c r="D26" s="89"/>
      <c r="E26" s="103"/>
      <c r="F26" s="126" t="s">
        <v>509</v>
      </c>
      <c r="G26" s="121">
        <v>30000</v>
      </c>
      <c r="H26" s="106" t="s">
        <v>277</v>
      </c>
      <c r="I26" s="107">
        <v>11</v>
      </c>
      <c r="J26" s="106" t="s">
        <v>109</v>
      </c>
      <c r="K26" s="108">
        <v>12</v>
      </c>
      <c r="L26" s="109"/>
      <c r="M26" s="108"/>
      <c r="N26" s="110"/>
      <c r="O26" s="110" t="s">
        <v>638</v>
      </c>
      <c r="P26" s="111">
        <f>ROUNDUP(G26*I26*K26,-3)</f>
        <v>3960000</v>
      </c>
      <c r="Q26" s="112"/>
      <c r="R26" s="131"/>
      <c r="S26" s="112"/>
      <c r="T26" s="113"/>
    </row>
    <row r="27" spans="1:23" ht="15" customHeight="1">
      <c r="A27" s="88"/>
      <c r="B27" s="89"/>
      <c r="C27" s="90"/>
      <c r="D27" s="89"/>
      <c r="E27" s="90"/>
      <c r="F27" s="96" t="s">
        <v>646</v>
      </c>
      <c r="G27" s="123"/>
      <c r="H27" s="106"/>
      <c r="I27" s="106"/>
      <c r="J27" s="106"/>
      <c r="K27" s="106"/>
      <c r="L27" s="124"/>
      <c r="M27" s="106"/>
      <c r="N27" s="110"/>
      <c r="O27" s="110"/>
      <c r="P27" s="938">
        <f>SUM(P28:P28)</f>
        <v>77880000</v>
      </c>
      <c r="Q27" s="112"/>
      <c r="R27" s="131"/>
      <c r="S27" s="112"/>
      <c r="T27" s="113"/>
    </row>
    <row r="28" spans="1:23" ht="15" customHeight="1">
      <c r="A28" s="88"/>
      <c r="B28" s="89"/>
      <c r="C28" s="90"/>
      <c r="D28" s="89"/>
      <c r="E28" s="122"/>
      <c r="F28" s="126" t="s">
        <v>647</v>
      </c>
      <c r="G28" s="121">
        <v>590000</v>
      </c>
      <c r="H28" s="106" t="s">
        <v>636</v>
      </c>
      <c r="I28" s="107">
        <v>11</v>
      </c>
      <c r="J28" s="106" t="s">
        <v>109</v>
      </c>
      <c r="K28" s="108">
        <v>12</v>
      </c>
      <c r="L28" s="124"/>
      <c r="M28" s="1440"/>
      <c r="N28" s="110"/>
      <c r="O28" s="110" t="s">
        <v>638</v>
      </c>
      <c r="P28" s="111">
        <f>ROUNDUP(G28*I28*K28,-3)</f>
        <v>77880000</v>
      </c>
      <c r="Q28" s="112"/>
      <c r="R28" s="131"/>
      <c r="S28" s="112"/>
      <c r="T28" s="113"/>
    </row>
    <row r="29" spans="1:23" ht="15" customHeight="1">
      <c r="A29" s="88"/>
      <c r="B29" s="89"/>
      <c r="C29" s="90"/>
      <c r="D29" s="89"/>
      <c r="E29" s="122"/>
      <c r="F29" s="96" t="s">
        <v>648</v>
      </c>
      <c r="G29" s="128"/>
      <c r="H29" s="106"/>
      <c r="I29" s="106"/>
      <c r="J29" s="106"/>
      <c r="K29" s="106"/>
      <c r="L29" s="124"/>
      <c r="M29" s="106"/>
      <c r="N29" s="110"/>
      <c r="O29" s="110"/>
      <c r="P29" s="938">
        <f>SUM(P30:P32)</f>
        <v>18628000</v>
      </c>
      <c r="Q29" s="112"/>
      <c r="R29" s="131"/>
      <c r="S29" s="112"/>
      <c r="T29" s="113"/>
    </row>
    <row r="30" spans="1:23" ht="15" customHeight="1">
      <c r="A30" s="88"/>
      <c r="B30" s="89"/>
      <c r="C30" s="90"/>
      <c r="D30" s="89"/>
      <c r="E30" s="122"/>
      <c r="F30" s="126" t="s">
        <v>649</v>
      </c>
      <c r="G30" s="121">
        <v>1927900</v>
      </c>
      <c r="H30" s="106" t="s">
        <v>277</v>
      </c>
      <c r="I30" s="107">
        <v>1</v>
      </c>
      <c r="J30" s="106" t="s">
        <v>109</v>
      </c>
      <c r="K30" s="108">
        <v>2</v>
      </c>
      <c r="L30" s="109"/>
      <c r="M30" s="108"/>
      <c r="N30" s="110"/>
      <c r="O30" s="110" t="s">
        <v>638</v>
      </c>
      <c r="P30" s="111">
        <f>ROUNDUP(G30*I30*K30,-3)</f>
        <v>3856000</v>
      </c>
      <c r="Q30" s="112"/>
      <c r="R30" s="131"/>
      <c r="S30" s="112"/>
      <c r="T30" s="113"/>
    </row>
    <row r="31" spans="1:23" ht="15" customHeight="1">
      <c r="A31" s="88"/>
      <c r="B31" s="89"/>
      <c r="C31" s="90"/>
      <c r="D31" s="89"/>
      <c r="E31" s="103"/>
      <c r="F31" s="104" t="s">
        <v>377</v>
      </c>
      <c r="G31" s="121">
        <v>1434400</v>
      </c>
      <c r="H31" s="106" t="s">
        <v>277</v>
      </c>
      <c r="I31" s="107">
        <v>2</v>
      </c>
      <c r="J31" s="106" t="s">
        <v>109</v>
      </c>
      <c r="K31" s="108">
        <v>2</v>
      </c>
      <c r="L31" s="109"/>
      <c r="M31" s="108"/>
      <c r="N31" s="110"/>
      <c r="O31" s="110" t="s">
        <v>283</v>
      </c>
      <c r="P31" s="111">
        <f>ROUNDUP(G31*I31*K31,-3)</f>
        <v>5738000</v>
      </c>
      <c r="Q31" s="112"/>
      <c r="R31" s="131"/>
      <c r="S31" s="112"/>
      <c r="T31" s="113"/>
    </row>
    <row r="32" spans="1:23" ht="15" customHeight="1">
      <c r="A32" s="88"/>
      <c r="B32" s="89"/>
      <c r="C32" s="90"/>
      <c r="D32" s="89"/>
      <c r="E32" s="103"/>
      <c r="F32" s="104" t="s">
        <v>378</v>
      </c>
      <c r="G32" s="121">
        <v>564600</v>
      </c>
      <c r="H32" s="106" t="s">
        <v>277</v>
      </c>
      <c r="I32" s="107">
        <v>8</v>
      </c>
      <c r="J32" s="106" t="s">
        <v>109</v>
      </c>
      <c r="K32" s="108">
        <v>2</v>
      </c>
      <c r="L32" s="109"/>
      <c r="M32" s="108"/>
      <c r="N32" s="110"/>
      <c r="O32" s="110" t="s">
        <v>638</v>
      </c>
      <c r="P32" s="111">
        <f>ROUNDUP(G32*I32*K32,-3)</f>
        <v>9034000</v>
      </c>
      <c r="Q32" s="112"/>
      <c r="R32" s="131"/>
      <c r="S32" s="112"/>
      <c r="T32" s="113"/>
    </row>
    <row r="33" spans="1:20" ht="15" customHeight="1">
      <c r="A33" s="88"/>
      <c r="B33" s="89"/>
      <c r="C33" s="90"/>
      <c r="D33" s="89"/>
      <c r="E33" s="122"/>
      <c r="F33" s="96" t="s">
        <v>373</v>
      </c>
      <c r="G33" s="128"/>
      <c r="H33" s="106"/>
      <c r="I33" s="106"/>
      <c r="J33" s="106"/>
      <c r="K33" s="106"/>
      <c r="L33" s="124"/>
      <c r="M33" s="106"/>
      <c r="N33" s="110"/>
      <c r="O33" s="110"/>
      <c r="P33" s="938">
        <f>SUM(P34:P37)</f>
        <v>5580000</v>
      </c>
      <c r="Q33" s="112"/>
      <c r="R33" s="131"/>
      <c r="S33" s="112"/>
      <c r="T33" s="113"/>
    </row>
    <row r="34" spans="1:20" ht="15" customHeight="1">
      <c r="A34" s="88"/>
      <c r="B34" s="89"/>
      <c r="C34" s="90"/>
      <c r="D34" s="89"/>
      <c r="E34" s="122"/>
      <c r="F34" s="126" t="s">
        <v>374</v>
      </c>
      <c r="G34" s="121">
        <v>100000</v>
      </c>
      <c r="H34" s="106" t="s">
        <v>636</v>
      </c>
      <c r="I34" s="107">
        <v>2</v>
      </c>
      <c r="J34" s="106" t="s">
        <v>109</v>
      </c>
      <c r="K34" s="108">
        <v>12</v>
      </c>
      <c r="L34" s="109"/>
      <c r="M34" s="108"/>
      <c r="N34" s="110"/>
      <c r="O34" s="110" t="s">
        <v>281</v>
      </c>
      <c r="P34" s="111">
        <f>ROUNDUP(G34*I34*K34,-3)</f>
        <v>2400000</v>
      </c>
      <c r="Q34" s="112"/>
      <c r="R34" s="131"/>
      <c r="S34" s="112"/>
      <c r="T34" s="113"/>
    </row>
    <row r="35" spans="1:20" ht="15" customHeight="1">
      <c r="A35" s="88"/>
      <c r="B35" s="89"/>
      <c r="C35" s="90"/>
      <c r="D35" s="89"/>
      <c r="E35" s="103"/>
      <c r="F35" s="104" t="s">
        <v>650</v>
      </c>
      <c r="G35" s="121">
        <v>80000</v>
      </c>
      <c r="H35" s="106" t="s">
        <v>277</v>
      </c>
      <c r="I35" s="107">
        <v>2</v>
      </c>
      <c r="J35" s="106" t="s">
        <v>109</v>
      </c>
      <c r="K35" s="108">
        <v>12</v>
      </c>
      <c r="L35" s="109"/>
      <c r="M35" s="108"/>
      <c r="N35" s="110"/>
      <c r="O35" s="110" t="s">
        <v>281</v>
      </c>
      <c r="P35" s="111">
        <f>ROUNDUP(G35*I35*K35,-3)</f>
        <v>1920000</v>
      </c>
      <c r="Q35" s="112"/>
      <c r="R35" s="131"/>
      <c r="S35" s="112"/>
      <c r="T35" s="113"/>
    </row>
    <row r="36" spans="1:20" ht="15" customHeight="1">
      <c r="A36" s="88"/>
      <c r="B36" s="89"/>
      <c r="C36" s="90"/>
      <c r="D36" s="89"/>
      <c r="E36" s="103"/>
      <c r="F36" s="104" t="s">
        <v>375</v>
      </c>
      <c r="G36" s="121">
        <v>10000</v>
      </c>
      <c r="H36" s="106" t="s">
        <v>277</v>
      </c>
      <c r="I36" s="107">
        <v>1</v>
      </c>
      <c r="J36" s="106" t="s">
        <v>109</v>
      </c>
      <c r="K36" s="108">
        <v>6</v>
      </c>
      <c r="L36" s="109"/>
      <c r="M36" s="108"/>
      <c r="N36" s="110"/>
      <c r="O36" s="110" t="s">
        <v>274</v>
      </c>
      <c r="P36" s="111">
        <f>ROUNDUP(G36*I36*K36,-3)</f>
        <v>60000</v>
      </c>
      <c r="Q36" s="112"/>
      <c r="R36" s="131"/>
      <c r="S36" s="112"/>
      <c r="T36" s="113"/>
    </row>
    <row r="37" spans="1:20" ht="15" customHeight="1">
      <c r="A37" s="561"/>
      <c r="B37" s="562"/>
      <c r="C37" s="563"/>
      <c r="D37" s="562"/>
      <c r="E37" s="1441"/>
      <c r="F37" s="1442" t="s">
        <v>376</v>
      </c>
      <c r="G37" s="161">
        <v>50000</v>
      </c>
      <c r="H37" s="162" t="s">
        <v>277</v>
      </c>
      <c r="I37" s="941">
        <v>2</v>
      </c>
      <c r="J37" s="162" t="s">
        <v>109</v>
      </c>
      <c r="K37" s="163">
        <v>12</v>
      </c>
      <c r="L37" s="164"/>
      <c r="M37" s="163"/>
      <c r="N37" s="165"/>
      <c r="O37" s="165" t="s">
        <v>281</v>
      </c>
      <c r="P37" s="166">
        <f>ROUNDUP(G37*I37*K37,-3)</f>
        <v>1200000</v>
      </c>
      <c r="Q37" s="167"/>
      <c r="R37" s="168"/>
      <c r="S37" s="167"/>
      <c r="T37" s="169"/>
    </row>
    <row r="38" spans="1:20" ht="15" customHeight="1">
      <c r="A38" s="1443"/>
      <c r="B38" s="170"/>
      <c r="C38" s="144"/>
      <c r="D38" s="170"/>
      <c r="E38" s="1444"/>
      <c r="F38" s="145" t="s">
        <v>511</v>
      </c>
      <c r="G38" s="146"/>
      <c r="H38" s="147"/>
      <c r="I38" s="147"/>
      <c r="J38" s="147"/>
      <c r="K38" s="147"/>
      <c r="L38" s="148"/>
      <c r="M38" s="147"/>
      <c r="N38" s="149"/>
      <c r="O38" s="149"/>
      <c r="P38" s="1445">
        <f>SUM(P39:P41)</f>
        <v>30506000</v>
      </c>
      <c r="Q38" s="151"/>
      <c r="R38" s="152"/>
      <c r="S38" s="151"/>
      <c r="T38" s="153"/>
    </row>
    <row r="39" spans="1:20" ht="15" customHeight="1">
      <c r="A39" s="88"/>
      <c r="B39" s="89"/>
      <c r="C39" s="90"/>
      <c r="D39" s="89"/>
      <c r="E39" s="122"/>
      <c r="F39" s="126" t="s">
        <v>651</v>
      </c>
      <c r="G39" s="121">
        <v>2327070</v>
      </c>
      <c r="H39" s="106" t="s">
        <v>273</v>
      </c>
      <c r="I39" s="107">
        <v>1</v>
      </c>
      <c r="J39" s="106" t="s">
        <v>109</v>
      </c>
      <c r="K39" s="108">
        <v>2</v>
      </c>
      <c r="L39" s="109"/>
      <c r="M39" s="108"/>
      <c r="N39" s="110"/>
      <c r="O39" s="110" t="s">
        <v>281</v>
      </c>
      <c r="P39" s="111">
        <f>ROUNDUP(G39*I39*K39,-3)</f>
        <v>4655000</v>
      </c>
      <c r="Q39" s="112"/>
      <c r="R39" s="131"/>
      <c r="S39" s="112"/>
      <c r="T39" s="113"/>
    </row>
    <row r="40" spans="1:20" ht="15" customHeight="1">
      <c r="A40" s="88"/>
      <c r="B40" s="89"/>
      <c r="C40" s="90"/>
      <c r="D40" s="89"/>
      <c r="E40" s="103"/>
      <c r="F40" s="104" t="s">
        <v>505</v>
      </c>
      <c r="G40" s="121">
        <v>1878000</v>
      </c>
      <c r="H40" s="106" t="s">
        <v>282</v>
      </c>
      <c r="I40" s="107">
        <v>2</v>
      </c>
      <c r="J40" s="106" t="s">
        <v>109</v>
      </c>
      <c r="K40" s="108">
        <v>2</v>
      </c>
      <c r="L40" s="109"/>
      <c r="M40" s="108"/>
      <c r="N40" s="110"/>
      <c r="O40" s="110" t="s">
        <v>281</v>
      </c>
      <c r="P40" s="111">
        <f>ROUNDUP(G40*I40*K40,-3)</f>
        <v>7512000</v>
      </c>
      <c r="Q40" s="112"/>
      <c r="R40" s="131"/>
      <c r="S40" s="112"/>
      <c r="T40" s="113"/>
    </row>
    <row r="41" spans="1:20" ht="15" customHeight="1">
      <c r="A41" s="88"/>
      <c r="B41" s="89"/>
      <c r="C41" s="90"/>
      <c r="D41" s="89"/>
      <c r="E41" s="103"/>
      <c r="F41" s="104" t="s">
        <v>502</v>
      </c>
      <c r="G41" s="121">
        <v>1146130</v>
      </c>
      <c r="H41" s="106" t="s">
        <v>273</v>
      </c>
      <c r="I41" s="107">
        <v>8</v>
      </c>
      <c r="J41" s="106" t="s">
        <v>109</v>
      </c>
      <c r="K41" s="108">
        <v>2</v>
      </c>
      <c r="L41" s="109"/>
      <c r="M41" s="108"/>
      <c r="N41" s="110"/>
      <c r="O41" s="110" t="s">
        <v>281</v>
      </c>
      <c r="P41" s="111">
        <f>ROUNDUP(G41*I41*K41,-3)</f>
        <v>18339000</v>
      </c>
      <c r="Q41" s="112"/>
      <c r="R41" s="131"/>
      <c r="S41" s="112"/>
      <c r="T41" s="113"/>
    </row>
    <row r="42" spans="1:20" ht="15" customHeight="1">
      <c r="A42" s="88"/>
      <c r="B42" s="89"/>
      <c r="C42" s="90"/>
      <c r="D42" s="89"/>
      <c r="E42" s="122"/>
      <c r="F42" s="96" t="s">
        <v>652</v>
      </c>
      <c r="G42" s="123"/>
      <c r="H42" s="106"/>
      <c r="I42" s="106"/>
      <c r="J42" s="106"/>
      <c r="K42" s="106"/>
      <c r="L42" s="124"/>
      <c r="M42" s="106"/>
      <c r="N42" s="110"/>
      <c r="O42" s="110"/>
      <c r="P42" s="938">
        <f>SUM(P43:P43)</f>
        <v>4141000</v>
      </c>
      <c r="Q42" s="112"/>
      <c r="R42" s="131"/>
      <c r="S42" s="112"/>
      <c r="T42" s="113"/>
    </row>
    <row r="43" spans="1:20" ht="15" customHeight="1">
      <c r="A43" s="88"/>
      <c r="B43" s="89"/>
      <c r="C43" s="90"/>
      <c r="D43" s="89"/>
      <c r="E43" s="122"/>
      <c r="F43" s="126" t="s">
        <v>513</v>
      </c>
      <c r="G43" s="121">
        <v>118300</v>
      </c>
      <c r="H43" s="106" t="s">
        <v>273</v>
      </c>
      <c r="I43" s="107">
        <v>7</v>
      </c>
      <c r="J43" s="106" t="s">
        <v>109</v>
      </c>
      <c r="K43" s="129">
        <v>5</v>
      </c>
      <c r="L43" s="124"/>
      <c r="M43" s="1440"/>
      <c r="N43" s="110"/>
      <c r="O43" s="110" t="s">
        <v>274</v>
      </c>
      <c r="P43" s="111">
        <f>ROUNDUP(G43*I43*K43,-3)</f>
        <v>4141000</v>
      </c>
      <c r="Q43" s="112"/>
      <c r="R43" s="131"/>
      <c r="S43" s="112"/>
      <c r="T43" s="113"/>
    </row>
    <row r="44" spans="1:20" ht="15" customHeight="1">
      <c r="A44" s="88"/>
      <c r="B44" s="89"/>
      <c r="C44" s="90"/>
      <c r="D44" s="89"/>
      <c r="E44" s="514" t="s">
        <v>514</v>
      </c>
      <c r="F44" s="515"/>
      <c r="G44" s="511"/>
      <c r="H44" s="510"/>
      <c r="I44" s="510"/>
      <c r="J44" s="510"/>
      <c r="K44" s="510"/>
      <c r="L44" s="512"/>
      <c r="M44" s="510"/>
      <c r="N44" s="513"/>
      <c r="O44" s="513"/>
      <c r="P44" s="510"/>
      <c r="Q44" s="171">
        <f>SUM(P45)</f>
        <v>39894000</v>
      </c>
      <c r="R44" s="171">
        <v>38614000</v>
      </c>
      <c r="S44" s="171">
        <f>Q44-R44</f>
        <v>1280000</v>
      </c>
      <c r="T44" s="172">
        <f t="shared" si="1"/>
        <v>3.3148598953747346E-2</v>
      </c>
    </row>
    <row r="45" spans="1:20" ht="15" customHeight="1">
      <c r="A45" s="88"/>
      <c r="B45" s="89"/>
      <c r="C45" s="90"/>
      <c r="D45" s="89"/>
      <c r="E45" s="90"/>
      <c r="F45" s="96" t="s">
        <v>653</v>
      </c>
      <c r="G45" s="123"/>
      <c r="H45" s="106"/>
      <c r="I45" s="106"/>
      <c r="J45" s="106"/>
      <c r="K45" s="106"/>
      <c r="L45" s="124"/>
      <c r="M45" s="106"/>
      <c r="N45" s="110"/>
      <c r="O45" s="110"/>
      <c r="P45" s="938">
        <f>SUM(P46:P46)</f>
        <v>39894000</v>
      </c>
      <c r="Q45" s="112"/>
      <c r="R45" s="131"/>
      <c r="S45" s="112"/>
      <c r="T45" s="113"/>
    </row>
    <row r="46" spans="1:20" ht="15" customHeight="1">
      <c r="A46" s="88"/>
      <c r="B46" s="89"/>
      <c r="C46" s="90"/>
      <c r="D46" s="89"/>
      <c r="E46" s="122"/>
      <c r="F46" s="126" t="s">
        <v>381</v>
      </c>
      <c r="G46" s="121">
        <v>478722000</v>
      </c>
      <c r="H46" s="106" t="s">
        <v>273</v>
      </c>
      <c r="I46" s="1992">
        <v>12</v>
      </c>
      <c r="J46" s="1992"/>
      <c r="K46" s="108"/>
      <c r="L46" s="109"/>
      <c r="M46" s="108"/>
      <c r="N46" s="110"/>
      <c r="O46" s="110" t="s">
        <v>281</v>
      </c>
      <c r="P46" s="111">
        <f>ROUNDUP((G46/12),-3)</f>
        <v>39894000</v>
      </c>
      <c r="Q46" s="112"/>
      <c r="R46" s="131"/>
      <c r="S46" s="112"/>
      <c r="T46" s="113"/>
    </row>
    <row r="47" spans="1:20" s="916" customFormat="1" ht="15" customHeight="1">
      <c r="A47" s="134"/>
      <c r="B47" s="89"/>
      <c r="C47" s="90"/>
      <c r="D47" s="84" t="s">
        <v>654</v>
      </c>
      <c r="E47" s="1446"/>
      <c r="F47" s="1447"/>
      <c r="G47" s="1448"/>
      <c r="H47" s="1446"/>
      <c r="I47" s="1446"/>
      <c r="J47" s="1446"/>
      <c r="K47" s="1446"/>
      <c r="L47" s="1449"/>
      <c r="M47" s="1446"/>
      <c r="N47" s="1450"/>
      <c r="O47" s="1450"/>
      <c r="P47" s="1446"/>
      <c r="Q47" s="76">
        <f>SUM(Q48:Q123)</f>
        <v>277384000</v>
      </c>
      <c r="R47" s="76">
        <f>SUM(R48:R123)</f>
        <v>294029000</v>
      </c>
      <c r="S47" s="76">
        <f>Q47-R47</f>
        <v>-16645000</v>
      </c>
      <c r="T47" s="135">
        <f t="shared" si="1"/>
        <v>-5.6610062272769011E-2</v>
      </c>
    </row>
    <row r="48" spans="1:20" ht="15" customHeight="1">
      <c r="A48" s="88"/>
      <c r="B48" s="89"/>
      <c r="C48" s="90"/>
      <c r="D48" s="89"/>
      <c r="E48" s="510" t="s">
        <v>655</v>
      </c>
      <c r="F48" s="515"/>
      <c r="G48" s="511"/>
      <c r="H48" s="510"/>
      <c r="I48" s="510"/>
      <c r="J48" s="510"/>
      <c r="K48" s="510"/>
      <c r="L48" s="512"/>
      <c r="M48" s="510"/>
      <c r="N48" s="513"/>
      <c r="O48" s="513"/>
      <c r="P48" s="510"/>
      <c r="Q48" s="171">
        <f>+P49</f>
        <v>45770000</v>
      </c>
      <c r="R48" s="171">
        <v>47064000</v>
      </c>
      <c r="S48" s="171">
        <f>Q48-R48</f>
        <v>-1294000</v>
      </c>
      <c r="T48" s="172">
        <f t="shared" si="1"/>
        <v>-2.7494475607683155E-2</v>
      </c>
    </row>
    <row r="49" spans="1:24" ht="15" customHeight="1">
      <c r="A49" s="88"/>
      <c r="B49" s="89"/>
      <c r="C49" s="90"/>
      <c r="D49" s="89"/>
      <c r="E49" s="90"/>
      <c r="F49" s="96" t="s">
        <v>656</v>
      </c>
      <c r="G49" s="123"/>
      <c r="H49" s="106"/>
      <c r="I49" s="106"/>
      <c r="J49" s="106"/>
      <c r="K49" s="106"/>
      <c r="L49" s="124"/>
      <c r="M49" s="106"/>
      <c r="N49" s="110"/>
      <c r="O49" s="110"/>
      <c r="P49" s="938">
        <f>SUM(P50:P54)</f>
        <v>45770000</v>
      </c>
      <c r="Q49" s="112"/>
      <c r="R49" s="131"/>
      <c r="S49" s="112"/>
      <c r="T49" s="113"/>
      <c r="W49" s="917">
        <v>2018</v>
      </c>
      <c r="X49" s="917">
        <v>2017</v>
      </c>
    </row>
    <row r="50" spans="1:24" ht="15" customHeight="1">
      <c r="A50" s="88"/>
      <c r="B50" s="89"/>
      <c r="C50" s="90"/>
      <c r="D50" s="89"/>
      <c r="E50" s="122"/>
      <c r="F50" s="126" t="s">
        <v>517</v>
      </c>
      <c r="G50" s="121">
        <v>478722000</v>
      </c>
      <c r="H50" s="106" t="s">
        <v>277</v>
      </c>
      <c r="I50" s="1991">
        <v>4.4999999999999998E-2</v>
      </c>
      <c r="J50" s="1991"/>
      <c r="K50" s="108"/>
      <c r="L50" s="109"/>
      <c r="M50" s="108"/>
      <c r="N50" s="110"/>
      <c r="O50" s="110" t="s">
        <v>274</v>
      </c>
      <c r="P50" s="111">
        <f>ROUNDUP(G50*I50,-3)</f>
        <v>21543000</v>
      </c>
      <c r="Q50" s="112"/>
      <c r="R50" s="131"/>
      <c r="S50" s="112"/>
      <c r="T50" s="113"/>
      <c r="V50" s="917" t="s">
        <v>2148</v>
      </c>
      <c r="W50" s="945">
        <f>W53-W51</f>
        <v>274384000</v>
      </c>
      <c r="X50" s="945">
        <f>X53-X51</f>
        <v>291029000</v>
      </c>
    </row>
    <row r="51" spans="1:24" ht="15" customHeight="1">
      <c r="A51" s="88"/>
      <c r="B51" s="89"/>
      <c r="C51" s="90"/>
      <c r="D51" s="89"/>
      <c r="E51" s="103"/>
      <c r="F51" s="104" t="s">
        <v>518</v>
      </c>
      <c r="G51" s="121">
        <v>478722000</v>
      </c>
      <c r="H51" s="106" t="s">
        <v>277</v>
      </c>
      <c r="I51" s="1991">
        <v>3.0599999999999999E-2</v>
      </c>
      <c r="J51" s="1991"/>
      <c r="K51" s="108"/>
      <c r="L51" s="109"/>
      <c r="M51" s="108"/>
      <c r="N51" s="110"/>
      <c r="O51" s="110" t="s">
        <v>274</v>
      </c>
      <c r="P51" s="111">
        <f>ROUNDUP(G51*I51,-3)</f>
        <v>14649000</v>
      </c>
      <c r="Q51" s="112"/>
      <c r="R51" s="131"/>
      <c r="S51" s="112"/>
      <c r="T51" s="113"/>
      <c r="V51" s="917" t="s">
        <v>2149</v>
      </c>
      <c r="W51" s="945">
        <f>Q121</f>
        <v>3000000</v>
      </c>
      <c r="X51" s="945">
        <f>R121</f>
        <v>3000000</v>
      </c>
    </row>
    <row r="52" spans="1:24" ht="15" customHeight="1">
      <c r="A52" s="88"/>
      <c r="B52" s="89"/>
      <c r="C52" s="90"/>
      <c r="D52" s="89"/>
      <c r="E52" s="103"/>
      <c r="F52" s="104" t="s">
        <v>657</v>
      </c>
      <c r="G52" s="121">
        <f>P51</f>
        <v>14649000</v>
      </c>
      <c r="H52" s="106" t="s">
        <v>273</v>
      </c>
      <c r="I52" s="1991">
        <v>6.5500000000000003E-2</v>
      </c>
      <c r="J52" s="1991"/>
      <c r="K52" s="108"/>
      <c r="L52" s="109"/>
      <c r="M52" s="108"/>
      <c r="N52" s="110"/>
      <c r="O52" s="110" t="s">
        <v>281</v>
      </c>
      <c r="P52" s="111">
        <f>ROUNDUP(G52*I52,-3)</f>
        <v>960000</v>
      </c>
      <c r="Q52" s="112"/>
      <c r="R52" s="131"/>
      <c r="S52" s="112"/>
      <c r="T52" s="113"/>
    </row>
    <row r="53" spans="1:24" ht="15" customHeight="1">
      <c r="A53" s="88"/>
      <c r="B53" s="89"/>
      <c r="C53" s="90"/>
      <c r="D53" s="89"/>
      <c r="E53" s="103"/>
      <c r="F53" s="104" t="s">
        <v>519</v>
      </c>
      <c r="G53" s="121">
        <v>478722000</v>
      </c>
      <c r="H53" s="106" t="s">
        <v>282</v>
      </c>
      <c r="I53" s="1991">
        <v>8.9999999999999993E-3</v>
      </c>
      <c r="J53" s="1991"/>
      <c r="K53" s="108"/>
      <c r="L53" s="109"/>
      <c r="M53" s="108"/>
      <c r="N53" s="110"/>
      <c r="O53" s="110" t="s">
        <v>283</v>
      </c>
      <c r="P53" s="111">
        <f>ROUNDUP(G53*I53,-3)</f>
        <v>4309000</v>
      </c>
      <c r="Q53" s="112"/>
      <c r="R53" s="131"/>
      <c r="S53" s="112"/>
      <c r="T53" s="113"/>
      <c r="V53" s="917" t="s">
        <v>2150</v>
      </c>
      <c r="W53" s="945">
        <f>Q47</f>
        <v>277384000</v>
      </c>
      <c r="X53" s="945">
        <f>R47</f>
        <v>294029000</v>
      </c>
    </row>
    <row r="54" spans="1:24" ht="15" customHeight="1">
      <c r="A54" s="88"/>
      <c r="B54" s="89"/>
      <c r="C54" s="90"/>
      <c r="D54" s="89"/>
      <c r="E54" s="103"/>
      <c r="F54" s="104" t="s">
        <v>658</v>
      </c>
      <c r="G54" s="121">
        <v>478722000</v>
      </c>
      <c r="H54" s="106" t="s">
        <v>277</v>
      </c>
      <c r="I54" s="1991">
        <v>8.9999999999999993E-3</v>
      </c>
      <c r="J54" s="1991"/>
      <c r="K54" s="108"/>
      <c r="L54" s="109"/>
      <c r="M54" s="108"/>
      <c r="N54" s="110"/>
      <c r="O54" s="110" t="s">
        <v>274</v>
      </c>
      <c r="P54" s="111">
        <f>ROUNDUP(G54*I54,-3)</f>
        <v>4309000</v>
      </c>
      <c r="Q54" s="112"/>
      <c r="R54" s="131"/>
      <c r="S54" s="112"/>
      <c r="T54" s="113"/>
    </row>
    <row r="55" spans="1:24" ht="15" customHeight="1">
      <c r="A55" s="88"/>
      <c r="B55" s="89"/>
      <c r="C55" s="90"/>
      <c r="D55" s="89"/>
      <c r="E55" s="510" t="s">
        <v>442</v>
      </c>
      <c r="F55" s="515"/>
      <c r="G55" s="511"/>
      <c r="H55" s="510"/>
      <c r="I55" s="510"/>
      <c r="J55" s="510"/>
      <c r="K55" s="510"/>
      <c r="L55" s="512"/>
      <c r="M55" s="510"/>
      <c r="N55" s="513"/>
      <c r="O55" s="513"/>
      <c r="P55" s="510"/>
      <c r="Q55" s="171">
        <f>SUM(P56+P58+P60)</f>
        <v>18810000</v>
      </c>
      <c r="R55" s="171">
        <v>21204000</v>
      </c>
      <c r="S55" s="171">
        <f>Q55-R55</f>
        <v>-2394000</v>
      </c>
      <c r="T55" s="172">
        <f t="shared" si="1"/>
        <v>-0.11290322580645161</v>
      </c>
    </row>
    <row r="56" spans="1:24" ht="15" customHeight="1">
      <c r="A56" s="88"/>
      <c r="B56" s="89"/>
      <c r="C56" s="90"/>
      <c r="D56" s="89"/>
      <c r="E56" s="90"/>
      <c r="F56" s="96" t="s">
        <v>659</v>
      </c>
      <c r="G56" s="123"/>
      <c r="H56" s="106"/>
      <c r="I56" s="106"/>
      <c r="J56" s="106"/>
      <c r="K56" s="106"/>
      <c r="L56" s="124"/>
      <c r="M56" s="106"/>
      <c r="N56" s="110"/>
      <c r="O56" s="110"/>
      <c r="P56" s="938">
        <f>SUM(P57:P57)</f>
        <v>120000</v>
      </c>
      <c r="Q56" s="112"/>
      <c r="R56" s="131"/>
      <c r="S56" s="112"/>
      <c r="T56" s="113"/>
    </row>
    <row r="57" spans="1:24" ht="15" customHeight="1">
      <c r="A57" s="88"/>
      <c r="B57" s="89"/>
      <c r="C57" s="90"/>
      <c r="D57" s="89"/>
      <c r="E57" s="122"/>
      <c r="F57" s="126" t="s">
        <v>660</v>
      </c>
      <c r="G57" s="121">
        <v>10000</v>
      </c>
      <c r="H57" s="106" t="s">
        <v>273</v>
      </c>
      <c r="I57" s="108">
        <v>12</v>
      </c>
      <c r="J57" s="106"/>
      <c r="K57" s="108"/>
      <c r="L57" s="109"/>
      <c r="M57" s="108"/>
      <c r="N57" s="110"/>
      <c r="O57" s="110" t="s">
        <v>274</v>
      </c>
      <c r="P57" s="111">
        <f>ROUNDUP(G57*I57,-3)</f>
        <v>120000</v>
      </c>
      <c r="Q57" s="112"/>
      <c r="R57" s="131"/>
      <c r="S57" s="112"/>
      <c r="T57" s="113"/>
    </row>
    <row r="58" spans="1:24" ht="15" customHeight="1">
      <c r="A58" s="88"/>
      <c r="B58" s="89"/>
      <c r="C58" s="90"/>
      <c r="D58" s="89"/>
      <c r="E58" s="90"/>
      <c r="F58" s="96" t="s">
        <v>661</v>
      </c>
      <c r="G58" s="123"/>
      <c r="H58" s="106"/>
      <c r="I58" s="106"/>
      <c r="J58" s="106"/>
      <c r="K58" s="106"/>
      <c r="L58" s="124"/>
      <c r="M58" s="106"/>
      <c r="N58" s="110"/>
      <c r="O58" s="110"/>
      <c r="P58" s="938">
        <f>SUM(P59:P59)</f>
        <v>16560000</v>
      </c>
      <c r="Q58" s="112"/>
      <c r="R58" s="131"/>
      <c r="S58" s="112"/>
      <c r="T58" s="113"/>
    </row>
    <row r="59" spans="1:24" ht="15" customHeight="1">
      <c r="A59" s="88"/>
      <c r="B59" s="89"/>
      <c r="C59" s="90"/>
      <c r="D59" s="89"/>
      <c r="E59" s="122"/>
      <c r="F59" s="126" t="s">
        <v>662</v>
      </c>
      <c r="G59" s="121">
        <v>1380000</v>
      </c>
      <c r="H59" s="106" t="s">
        <v>273</v>
      </c>
      <c r="I59" s="108">
        <v>12</v>
      </c>
      <c r="J59" s="106"/>
      <c r="K59" s="108"/>
      <c r="L59" s="109"/>
      <c r="M59" s="108"/>
      <c r="N59" s="110"/>
      <c r="O59" s="110" t="s">
        <v>281</v>
      </c>
      <c r="P59" s="111">
        <f>ROUNDUP(G59*I59,-3)</f>
        <v>16560000</v>
      </c>
      <c r="Q59" s="112"/>
      <c r="R59" s="131"/>
      <c r="S59" s="112"/>
      <c r="T59" s="113"/>
    </row>
    <row r="60" spans="1:24" ht="15" customHeight="1">
      <c r="A60" s="88"/>
      <c r="B60" s="89"/>
      <c r="C60" s="90"/>
      <c r="D60" s="89"/>
      <c r="E60" s="90"/>
      <c r="F60" s="96" t="s">
        <v>390</v>
      </c>
      <c r="G60" s="123"/>
      <c r="H60" s="106"/>
      <c r="I60" s="106"/>
      <c r="J60" s="106"/>
      <c r="K60" s="106"/>
      <c r="L60" s="124"/>
      <c r="M60" s="106"/>
      <c r="N60" s="110"/>
      <c r="O60" s="110"/>
      <c r="P60" s="938">
        <f>SUM(P61:P64)</f>
        <v>2130000</v>
      </c>
      <c r="Q60" s="112"/>
      <c r="R60" s="131"/>
      <c r="S60" s="112"/>
      <c r="T60" s="113"/>
    </row>
    <row r="61" spans="1:24" ht="15" customHeight="1">
      <c r="A61" s="88"/>
      <c r="B61" s="89"/>
      <c r="C61" s="90"/>
      <c r="D61" s="89"/>
      <c r="E61" s="122"/>
      <c r="F61" s="126" t="s">
        <v>391</v>
      </c>
      <c r="G61" s="121">
        <v>50000</v>
      </c>
      <c r="H61" s="106" t="s">
        <v>282</v>
      </c>
      <c r="I61" s="142">
        <v>1</v>
      </c>
      <c r="J61" s="106"/>
      <c r="K61" s="108"/>
      <c r="L61" s="109"/>
      <c r="M61" s="108"/>
      <c r="N61" s="110"/>
      <c r="O61" s="110" t="s">
        <v>274</v>
      </c>
      <c r="P61" s="111">
        <f>ROUNDUP(G61*I61,-3)</f>
        <v>50000</v>
      </c>
      <c r="Q61" s="112"/>
      <c r="R61" s="131"/>
      <c r="S61" s="112"/>
      <c r="T61" s="113"/>
    </row>
    <row r="62" spans="1:24" ht="15" customHeight="1">
      <c r="A62" s="88"/>
      <c r="B62" s="89"/>
      <c r="C62" s="90"/>
      <c r="D62" s="89"/>
      <c r="E62" s="122"/>
      <c r="F62" s="126" t="s">
        <v>663</v>
      </c>
      <c r="G62" s="121">
        <v>100000</v>
      </c>
      <c r="H62" s="106" t="s">
        <v>277</v>
      </c>
      <c r="I62" s="142">
        <v>1</v>
      </c>
      <c r="J62" s="106"/>
      <c r="K62" s="108"/>
      <c r="L62" s="109"/>
      <c r="M62" s="108"/>
      <c r="N62" s="110"/>
      <c r="O62" s="110" t="s">
        <v>283</v>
      </c>
      <c r="P62" s="111">
        <f>ROUNDUP(G62*I62,-3)</f>
        <v>100000</v>
      </c>
      <c r="Q62" s="112"/>
      <c r="R62" s="131"/>
      <c r="S62" s="112"/>
      <c r="T62" s="113"/>
    </row>
    <row r="63" spans="1:24" ht="15" customHeight="1">
      <c r="A63" s="88"/>
      <c r="B63" s="89"/>
      <c r="C63" s="90"/>
      <c r="D63" s="89"/>
      <c r="E63" s="122"/>
      <c r="F63" s="126" t="s">
        <v>392</v>
      </c>
      <c r="G63" s="121">
        <v>1100000</v>
      </c>
      <c r="H63" s="106" t="s">
        <v>277</v>
      </c>
      <c r="I63" s="142">
        <v>1</v>
      </c>
      <c r="J63" s="106"/>
      <c r="K63" s="108"/>
      <c r="L63" s="109"/>
      <c r="M63" s="108"/>
      <c r="N63" s="110"/>
      <c r="O63" s="110" t="s">
        <v>281</v>
      </c>
      <c r="P63" s="111">
        <f>ROUNDUP(G63*I63,-3)</f>
        <v>1100000</v>
      </c>
      <c r="Q63" s="112"/>
      <c r="R63" s="131"/>
      <c r="S63" s="112"/>
      <c r="T63" s="113"/>
    </row>
    <row r="64" spans="1:24" ht="15" customHeight="1">
      <c r="A64" s="88"/>
      <c r="B64" s="89"/>
      <c r="C64" s="90"/>
      <c r="D64" s="89"/>
      <c r="E64" s="122"/>
      <c r="F64" s="126" t="s">
        <v>664</v>
      </c>
      <c r="G64" s="121">
        <v>880000</v>
      </c>
      <c r="H64" s="106" t="s">
        <v>277</v>
      </c>
      <c r="I64" s="142">
        <v>1</v>
      </c>
      <c r="J64" s="106"/>
      <c r="K64" s="108"/>
      <c r="L64" s="109"/>
      <c r="M64" s="108"/>
      <c r="N64" s="110"/>
      <c r="O64" s="110" t="s">
        <v>283</v>
      </c>
      <c r="P64" s="111">
        <f>ROUNDUP(G64*I64,-3)</f>
        <v>880000</v>
      </c>
      <c r="Q64" s="112"/>
      <c r="R64" s="131"/>
      <c r="S64" s="112"/>
      <c r="T64" s="113"/>
    </row>
    <row r="65" spans="1:23" ht="15" customHeight="1">
      <c r="A65" s="88"/>
      <c r="B65" s="89"/>
      <c r="C65" s="90"/>
      <c r="D65" s="89"/>
      <c r="E65" s="510" t="s">
        <v>2352</v>
      </c>
      <c r="F65" s="515"/>
      <c r="G65" s="511"/>
      <c r="H65" s="510"/>
      <c r="I65" s="510"/>
      <c r="J65" s="510"/>
      <c r="K65" s="510"/>
      <c r="L65" s="512"/>
      <c r="M65" s="510"/>
      <c r="N65" s="513"/>
      <c r="O65" s="513"/>
      <c r="P65" s="510"/>
      <c r="Q65" s="171">
        <f>P66</f>
        <v>65400000</v>
      </c>
      <c r="R65" s="171">
        <v>62987000</v>
      </c>
      <c r="S65" s="171">
        <f>Q65-R65</f>
        <v>2413000</v>
      </c>
      <c r="T65" s="172">
        <f t="shared" si="1"/>
        <v>3.8309492434946892E-2</v>
      </c>
    </row>
    <row r="66" spans="1:23" ht="15" customHeight="1">
      <c r="A66" s="88"/>
      <c r="B66" s="89"/>
      <c r="C66" s="90"/>
      <c r="D66" s="89"/>
      <c r="E66" s="90"/>
      <c r="F66" s="96" t="s">
        <v>666</v>
      </c>
      <c r="G66" s="123"/>
      <c r="H66" s="106"/>
      <c r="I66" s="106"/>
      <c r="J66" s="106"/>
      <c r="K66" s="106"/>
      <c r="L66" s="124"/>
      <c r="M66" s="106"/>
      <c r="N66" s="110"/>
      <c r="O66" s="110"/>
      <c r="P66" s="938">
        <f>SUM(P67:P69)</f>
        <v>65400000</v>
      </c>
      <c r="Q66" s="112"/>
      <c r="R66" s="131"/>
      <c r="S66" s="112"/>
      <c r="T66" s="113"/>
    </row>
    <row r="67" spans="1:23" ht="15" customHeight="1">
      <c r="A67" s="88"/>
      <c r="B67" s="89"/>
      <c r="C67" s="90"/>
      <c r="D67" s="89"/>
      <c r="E67" s="122"/>
      <c r="F67" s="126" t="s">
        <v>667</v>
      </c>
      <c r="G67" s="121">
        <v>200</v>
      </c>
      <c r="H67" s="106" t="s">
        <v>277</v>
      </c>
      <c r="I67" s="108">
        <v>12</v>
      </c>
      <c r="J67" s="106" t="s">
        <v>109</v>
      </c>
      <c r="K67" s="1995">
        <v>19000</v>
      </c>
      <c r="L67" s="1995"/>
      <c r="M67" s="108"/>
      <c r="N67" s="110"/>
      <c r="O67" s="110" t="s">
        <v>283</v>
      </c>
      <c r="P67" s="111">
        <f>G67*I67*K67</f>
        <v>45600000</v>
      </c>
      <c r="Q67" s="112"/>
      <c r="R67" s="131"/>
      <c r="S67" s="112"/>
      <c r="T67" s="113"/>
    </row>
    <row r="68" spans="1:23" ht="15" customHeight="1">
      <c r="A68" s="88"/>
      <c r="B68" s="89"/>
      <c r="C68" s="90"/>
      <c r="D68" s="89"/>
      <c r="E68" s="103"/>
      <c r="F68" s="104" t="s">
        <v>668</v>
      </c>
      <c r="G68" s="123">
        <v>1250000</v>
      </c>
      <c r="H68" s="106" t="s">
        <v>277</v>
      </c>
      <c r="I68" s="108">
        <v>12</v>
      </c>
      <c r="J68" s="106"/>
      <c r="K68" s="108"/>
      <c r="L68" s="109"/>
      <c r="M68" s="108"/>
      <c r="N68" s="110"/>
      <c r="O68" s="110" t="s">
        <v>281</v>
      </c>
      <c r="P68" s="111">
        <f>ROUNDUP(G68*I68,-3)</f>
        <v>15000000</v>
      </c>
      <c r="Q68" s="112"/>
      <c r="R68" s="131"/>
      <c r="S68" s="112"/>
      <c r="T68" s="113"/>
    </row>
    <row r="69" spans="1:23" ht="15" customHeight="1">
      <c r="A69" s="88"/>
      <c r="B69" s="89"/>
      <c r="C69" s="90"/>
      <c r="D69" s="89"/>
      <c r="E69" s="103"/>
      <c r="F69" s="104" t="s">
        <v>395</v>
      </c>
      <c r="G69" s="123">
        <v>400000</v>
      </c>
      <c r="H69" s="106" t="s">
        <v>277</v>
      </c>
      <c r="I69" s="108">
        <v>12</v>
      </c>
      <c r="J69" s="106"/>
      <c r="K69" s="108"/>
      <c r="L69" s="109"/>
      <c r="M69" s="108"/>
      <c r="N69" s="110"/>
      <c r="O69" s="110" t="s">
        <v>283</v>
      </c>
      <c r="P69" s="111">
        <f>ROUNDUP(G69*I69,-3)</f>
        <v>4800000</v>
      </c>
      <c r="Q69" s="112"/>
      <c r="R69" s="131"/>
      <c r="S69" s="112"/>
      <c r="T69" s="113"/>
    </row>
    <row r="70" spans="1:23" ht="15" customHeight="1">
      <c r="A70" s="88"/>
      <c r="B70" s="89"/>
      <c r="C70" s="90"/>
      <c r="D70" s="89"/>
      <c r="E70" s="510" t="s">
        <v>396</v>
      </c>
      <c r="F70" s="515"/>
      <c r="G70" s="511"/>
      <c r="H70" s="510"/>
      <c r="I70" s="510"/>
      <c r="J70" s="510"/>
      <c r="K70" s="510"/>
      <c r="L70" s="512"/>
      <c r="M70" s="510"/>
      <c r="N70" s="513"/>
      <c r="O70" s="513"/>
      <c r="P70" s="510"/>
      <c r="Q70" s="171">
        <f>P71+P74</f>
        <v>7020000</v>
      </c>
      <c r="R70" s="171">
        <v>11500000</v>
      </c>
      <c r="S70" s="171">
        <f>Q70-R70</f>
        <v>-4480000</v>
      </c>
      <c r="T70" s="172">
        <f t="shared" si="1"/>
        <v>-0.38956521739130434</v>
      </c>
    </row>
    <row r="71" spans="1:23" ht="15" customHeight="1">
      <c r="A71" s="88"/>
      <c r="B71" s="89"/>
      <c r="C71" s="90"/>
      <c r="D71" s="89"/>
      <c r="E71" s="90"/>
      <c r="F71" s="96" t="s">
        <v>669</v>
      </c>
      <c r="G71" s="123"/>
      <c r="H71" s="106"/>
      <c r="I71" s="106"/>
      <c r="J71" s="106"/>
      <c r="K71" s="106"/>
      <c r="L71" s="124"/>
      <c r="M71" s="106"/>
      <c r="N71" s="110"/>
      <c r="O71" s="110"/>
      <c r="P71" s="938">
        <f>SUM(P72:P73)</f>
        <v>4020000</v>
      </c>
      <c r="Q71" s="112"/>
      <c r="R71" s="131"/>
      <c r="S71" s="112"/>
      <c r="T71" s="113"/>
    </row>
    <row r="72" spans="1:23" ht="15" customHeight="1">
      <c r="A72" s="88"/>
      <c r="B72" s="89"/>
      <c r="C72" s="90"/>
      <c r="D72" s="89"/>
      <c r="E72" s="122"/>
      <c r="F72" s="126" t="s">
        <v>670</v>
      </c>
      <c r="G72" s="121">
        <v>500000</v>
      </c>
      <c r="H72" s="106" t="s">
        <v>277</v>
      </c>
      <c r="I72" s="142">
        <v>4</v>
      </c>
      <c r="J72" s="106"/>
      <c r="K72" s="108"/>
      <c r="L72" s="109"/>
      <c r="M72" s="108"/>
      <c r="N72" s="110"/>
      <c r="O72" s="110" t="s">
        <v>283</v>
      </c>
      <c r="P72" s="111">
        <f>ROUNDUP(G72*I72,-3)</f>
        <v>2000000</v>
      </c>
      <c r="Q72" s="112"/>
      <c r="R72" s="131"/>
      <c r="S72" s="112"/>
      <c r="T72" s="113"/>
      <c r="W72" s="944"/>
    </row>
    <row r="73" spans="1:23" ht="15" customHeight="1">
      <c r="A73" s="88"/>
      <c r="B73" s="89"/>
      <c r="C73" s="90"/>
      <c r="D73" s="89"/>
      <c r="E73" s="103"/>
      <c r="F73" s="104" t="s">
        <v>398</v>
      </c>
      <c r="G73" s="123">
        <v>168333</v>
      </c>
      <c r="H73" s="106" t="s">
        <v>277</v>
      </c>
      <c r="I73" s="108">
        <v>12</v>
      </c>
      <c r="J73" s="106"/>
      <c r="K73" s="108"/>
      <c r="L73" s="109"/>
      <c r="M73" s="108"/>
      <c r="N73" s="110"/>
      <c r="O73" s="110" t="s">
        <v>283</v>
      </c>
      <c r="P73" s="111">
        <f>ROUNDUP(G73*I73,-3)</f>
        <v>2020000</v>
      </c>
      <c r="Q73" s="112"/>
      <c r="R73" s="131"/>
      <c r="S73" s="112"/>
      <c r="T73" s="113"/>
      <c r="W73" s="1451"/>
    </row>
    <row r="74" spans="1:23" ht="15" customHeight="1">
      <c r="A74" s="88"/>
      <c r="B74" s="89"/>
      <c r="C74" s="90"/>
      <c r="D74" s="89"/>
      <c r="E74" s="158"/>
      <c r="F74" s="96" t="s">
        <v>399</v>
      </c>
      <c r="G74" s="97"/>
      <c r="H74" s="90"/>
      <c r="I74" s="90"/>
      <c r="J74" s="90"/>
      <c r="K74" s="90"/>
      <c r="L74" s="98"/>
      <c r="M74" s="90"/>
      <c r="N74" s="99"/>
      <c r="O74" s="99"/>
      <c r="P74" s="1452">
        <f>SUM(P75:P75)</f>
        <v>3000000</v>
      </c>
      <c r="Q74" s="112"/>
      <c r="R74" s="131"/>
      <c r="S74" s="112"/>
      <c r="T74" s="113"/>
    </row>
    <row r="75" spans="1:23" ht="15" customHeight="1">
      <c r="A75" s="561"/>
      <c r="B75" s="562"/>
      <c r="C75" s="563"/>
      <c r="D75" s="562"/>
      <c r="E75" s="1453"/>
      <c r="F75" s="160" t="s">
        <v>400</v>
      </c>
      <c r="G75" s="1454">
        <v>250000</v>
      </c>
      <c r="H75" s="563" t="s">
        <v>277</v>
      </c>
      <c r="I75" s="1455">
        <v>12</v>
      </c>
      <c r="J75" s="563"/>
      <c r="K75" s="1455"/>
      <c r="L75" s="1456"/>
      <c r="M75" s="1455"/>
      <c r="N75" s="1457"/>
      <c r="O75" s="1457" t="s">
        <v>281</v>
      </c>
      <c r="P75" s="1458">
        <f>ROUNDUP(G75*I75,-3)</f>
        <v>3000000</v>
      </c>
      <c r="Q75" s="167"/>
      <c r="R75" s="168"/>
      <c r="S75" s="167"/>
      <c r="T75" s="169"/>
    </row>
    <row r="76" spans="1:23" ht="15" customHeight="1">
      <c r="A76" s="88"/>
      <c r="B76" s="89"/>
      <c r="C76" s="90"/>
      <c r="D76" s="89"/>
      <c r="E76" s="565" t="s">
        <v>401</v>
      </c>
      <c r="F76" s="566"/>
      <c r="G76" s="567"/>
      <c r="H76" s="565"/>
      <c r="I76" s="565"/>
      <c r="J76" s="565"/>
      <c r="K76" s="565"/>
      <c r="L76" s="568"/>
      <c r="M76" s="565"/>
      <c r="N76" s="569"/>
      <c r="O76" s="569"/>
      <c r="P76" s="565"/>
      <c r="Q76" s="188">
        <f>+P77</f>
        <v>1800000</v>
      </c>
      <c r="R76" s="188">
        <v>1800000</v>
      </c>
      <c r="S76" s="188">
        <f>Q76-R76</f>
        <v>0</v>
      </c>
      <c r="T76" s="570">
        <f t="shared" ref="T76:T113" si="2">S76/R76</f>
        <v>0</v>
      </c>
    </row>
    <row r="77" spans="1:23" ht="15" customHeight="1">
      <c r="A77" s="88"/>
      <c r="B77" s="89"/>
      <c r="C77" s="90"/>
      <c r="D77" s="89"/>
      <c r="E77" s="90"/>
      <c r="F77" s="96" t="s">
        <v>402</v>
      </c>
      <c r="G77" s="123"/>
      <c r="H77" s="106"/>
      <c r="I77" s="106"/>
      <c r="J77" s="106"/>
      <c r="K77" s="106"/>
      <c r="L77" s="124"/>
      <c r="M77" s="106"/>
      <c r="N77" s="110"/>
      <c r="O77" s="110"/>
      <c r="P77" s="938">
        <f>SUM(P78:P78)</f>
        <v>1800000</v>
      </c>
      <c r="Q77" s="112"/>
      <c r="R77" s="131"/>
      <c r="S77" s="112"/>
      <c r="T77" s="113"/>
    </row>
    <row r="78" spans="1:23" ht="15" customHeight="1">
      <c r="A78" s="88"/>
      <c r="B78" s="89"/>
      <c r="C78" s="90"/>
      <c r="D78" s="89"/>
      <c r="E78" s="122"/>
      <c r="F78" s="126" t="s">
        <v>403</v>
      </c>
      <c r="G78" s="121">
        <v>900000</v>
      </c>
      <c r="H78" s="106" t="s">
        <v>277</v>
      </c>
      <c r="I78" s="142">
        <v>2</v>
      </c>
      <c r="J78" s="106"/>
      <c r="K78" s="108"/>
      <c r="L78" s="109"/>
      <c r="M78" s="108"/>
      <c r="N78" s="110"/>
      <c r="O78" s="110" t="s">
        <v>274</v>
      </c>
      <c r="P78" s="111">
        <f>ROUNDUP(G78*I78,-3)</f>
        <v>1800000</v>
      </c>
      <c r="Q78" s="112"/>
      <c r="R78" s="131"/>
      <c r="S78" s="112"/>
      <c r="T78" s="113"/>
      <c r="V78" s="944"/>
    </row>
    <row r="79" spans="1:23" ht="15" customHeight="1">
      <c r="A79" s="88"/>
      <c r="B79" s="89"/>
      <c r="C79" s="90"/>
      <c r="D79" s="89"/>
      <c r="E79" s="510" t="s">
        <v>404</v>
      </c>
      <c r="F79" s="515"/>
      <c r="G79" s="511"/>
      <c r="H79" s="510"/>
      <c r="I79" s="510"/>
      <c r="J79" s="510"/>
      <c r="K79" s="510"/>
      <c r="L79" s="512"/>
      <c r="M79" s="510"/>
      <c r="N79" s="513"/>
      <c r="O79" s="513"/>
      <c r="P79" s="510"/>
      <c r="Q79" s="171">
        <f>+P80</f>
        <v>13380000</v>
      </c>
      <c r="R79" s="171">
        <v>13164000</v>
      </c>
      <c r="S79" s="171">
        <f>Q79-R79</f>
        <v>216000</v>
      </c>
      <c r="T79" s="172">
        <f t="shared" si="2"/>
        <v>1.6408386508659983E-2</v>
      </c>
    </row>
    <row r="80" spans="1:23" ht="15" customHeight="1">
      <c r="A80" s="88"/>
      <c r="B80" s="89"/>
      <c r="C80" s="90"/>
      <c r="D80" s="89"/>
      <c r="E80" s="90"/>
      <c r="F80" s="96" t="s">
        <v>405</v>
      </c>
      <c r="G80" s="123"/>
      <c r="H80" s="106"/>
      <c r="I80" s="106"/>
      <c r="J80" s="106"/>
      <c r="K80" s="106"/>
      <c r="L80" s="124"/>
      <c r="M80" s="106"/>
      <c r="N80" s="110"/>
      <c r="O80" s="110"/>
      <c r="P80" s="938">
        <f>SUM(P81:P84)</f>
        <v>13380000</v>
      </c>
      <c r="Q80" s="112"/>
      <c r="R80" s="131"/>
      <c r="S80" s="112"/>
      <c r="T80" s="113"/>
    </row>
    <row r="81" spans="1:23" ht="15" customHeight="1">
      <c r="A81" s="88"/>
      <c r="B81" s="89"/>
      <c r="C81" s="90"/>
      <c r="D81" s="89"/>
      <c r="E81" s="122"/>
      <c r="F81" s="126" t="s">
        <v>671</v>
      </c>
      <c r="G81" s="121">
        <v>300000</v>
      </c>
      <c r="H81" s="106" t="s">
        <v>273</v>
      </c>
      <c r="I81" s="143">
        <v>1</v>
      </c>
      <c r="J81" s="106" t="s">
        <v>109</v>
      </c>
      <c r="K81" s="108">
        <v>12</v>
      </c>
      <c r="L81" s="109"/>
      <c r="M81" s="108"/>
      <c r="N81" s="110"/>
      <c r="O81" s="110" t="s">
        <v>281</v>
      </c>
      <c r="P81" s="111">
        <f>ROUNDUP(G81*I81*K81,-3)</f>
        <v>3600000</v>
      </c>
      <c r="Q81" s="112"/>
      <c r="R81" s="131"/>
      <c r="S81" s="112"/>
      <c r="T81" s="113"/>
    </row>
    <row r="82" spans="1:23" ht="15" customHeight="1">
      <c r="A82" s="88"/>
      <c r="B82" s="89"/>
      <c r="C82" s="90"/>
      <c r="D82" s="89"/>
      <c r="E82" s="103"/>
      <c r="F82" s="104" t="s">
        <v>672</v>
      </c>
      <c r="G82" s="123">
        <v>550000</v>
      </c>
      <c r="H82" s="106" t="s">
        <v>277</v>
      </c>
      <c r="I82" s="143">
        <v>1</v>
      </c>
      <c r="J82" s="106" t="s">
        <v>109</v>
      </c>
      <c r="K82" s="108">
        <v>12</v>
      </c>
      <c r="L82" s="109"/>
      <c r="M82" s="108"/>
      <c r="N82" s="110"/>
      <c r="O82" s="110" t="s">
        <v>274</v>
      </c>
      <c r="P82" s="111">
        <f>ROUNDUP(G82*I82*K82,-3)</f>
        <v>6600000</v>
      </c>
      <c r="Q82" s="112"/>
      <c r="R82" s="131"/>
      <c r="S82" s="112"/>
      <c r="T82" s="113"/>
    </row>
    <row r="83" spans="1:23" ht="15" customHeight="1">
      <c r="A83" s="88"/>
      <c r="B83" s="89"/>
      <c r="C83" s="90"/>
      <c r="D83" s="89"/>
      <c r="E83" s="103"/>
      <c r="F83" s="104" t="s">
        <v>673</v>
      </c>
      <c r="G83" s="123">
        <v>25000</v>
      </c>
      <c r="H83" s="106" t="s">
        <v>273</v>
      </c>
      <c r="I83" s="143">
        <v>1</v>
      </c>
      <c r="J83" s="106" t="s">
        <v>109</v>
      </c>
      <c r="K83" s="108">
        <v>12</v>
      </c>
      <c r="L83" s="109"/>
      <c r="M83" s="108"/>
      <c r="N83" s="110"/>
      <c r="O83" s="110" t="s">
        <v>281</v>
      </c>
      <c r="P83" s="111">
        <f>ROUNDUP(G83*I83*K83,-3)</f>
        <v>300000</v>
      </c>
      <c r="Q83" s="112"/>
      <c r="R83" s="131"/>
      <c r="S83" s="112"/>
      <c r="T83" s="113"/>
    </row>
    <row r="84" spans="1:23" ht="15" customHeight="1">
      <c r="A84" s="88"/>
      <c r="B84" s="89"/>
      <c r="C84" s="90"/>
      <c r="D84" s="89"/>
      <c r="E84" s="103"/>
      <c r="F84" s="104" t="s">
        <v>409</v>
      </c>
      <c r="G84" s="123">
        <v>40000</v>
      </c>
      <c r="H84" s="106" t="s">
        <v>277</v>
      </c>
      <c r="I84" s="143">
        <v>6</v>
      </c>
      <c r="J84" s="106" t="s">
        <v>109</v>
      </c>
      <c r="K84" s="108">
        <v>12</v>
      </c>
      <c r="L84" s="109"/>
      <c r="M84" s="108"/>
      <c r="N84" s="110"/>
      <c r="O84" s="110" t="s">
        <v>283</v>
      </c>
      <c r="P84" s="111">
        <f>ROUNDUP(G84*I84*K84,-3)</f>
        <v>2880000</v>
      </c>
      <c r="Q84" s="112"/>
      <c r="R84" s="131"/>
      <c r="S84" s="112"/>
      <c r="T84" s="113"/>
    </row>
    <row r="85" spans="1:23" ht="15" customHeight="1">
      <c r="A85" s="88"/>
      <c r="B85" s="89"/>
      <c r="C85" s="90"/>
      <c r="D85" s="89"/>
      <c r="E85" s="510" t="s">
        <v>410</v>
      </c>
      <c r="F85" s="515"/>
      <c r="G85" s="511"/>
      <c r="H85" s="510"/>
      <c r="I85" s="510"/>
      <c r="J85" s="510"/>
      <c r="K85" s="510"/>
      <c r="L85" s="512"/>
      <c r="M85" s="510"/>
      <c r="N85" s="513"/>
      <c r="O85" s="513"/>
      <c r="P85" s="510"/>
      <c r="Q85" s="171">
        <f>+P86</f>
        <v>96020000</v>
      </c>
      <c r="R85" s="171">
        <v>113438000</v>
      </c>
      <c r="S85" s="171">
        <f>Q85-R85</f>
        <v>-17418000</v>
      </c>
      <c r="T85" s="172">
        <f t="shared" si="2"/>
        <v>-0.15354643064934148</v>
      </c>
    </row>
    <row r="86" spans="1:23" ht="15" customHeight="1">
      <c r="A86" s="88"/>
      <c r="B86" s="89"/>
      <c r="C86" s="90"/>
      <c r="D86" s="89"/>
      <c r="E86" s="90"/>
      <c r="F86" s="96" t="s">
        <v>674</v>
      </c>
      <c r="G86" s="123"/>
      <c r="H86" s="106"/>
      <c r="I86" s="106"/>
      <c r="J86" s="106"/>
      <c r="K86" s="106"/>
      <c r="L86" s="124"/>
      <c r="M86" s="106"/>
      <c r="N86" s="110"/>
      <c r="O86" s="110"/>
      <c r="P86" s="938">
        <f>SUM(P87:P96)</f>
        <v>96020000</v>
      </c>
      <c r="Q86" s="112"/>
      <c r="R86" s="131"/>
      <c r="S86" s="112"/>
      <c r="T86" s="113"/>
    </row>
    <row r="87" spans="1:23" ht="15" customHeight="1">
      <c r="A87" s="88"/>
      <c r="B87" s="89"/>
      <c r="C87" s="90"/>
      <c r="D87" s="89"/>
      <c r="E87" s="122"/>
      <c r="F87" s="126" t="s">
        <v>675</v>
      </c>
      <c r="G87" s="121">
        <v>500000</v>
      </c>
      <c r="H87" s="106" t="s">
        <v>273</v>
      </c>
      <c r="I87" s="142">
        <v>2</v>
      </c>
      <c r="J87" s="106"/>
      <c r="K87" s="108"/>
      <c r="L87" s="109"/>
      <c r="M87" s="108"/>
      <c r="N87" s="110"/>
      <c r="O87" s="110" t="s">
        <v>283</v>
      </c>
      <c r="P87" s="111">
        <f t="shared" ref="P87:P92" si="3">ROUNDUP(G87*I87,-3)</f>
        <v>1000000</v>
      </c>
      <c r="Q87" s="112"/>
      <c r="R87" s="131"/>
      <c r="S87" s="112"/>
      <c r="T87" s="113"/>
    </row>
    <row r="88" spans="1:23" ht="15" customHeight="1">
      <c r="A88" s="88"/>
      <c r="B88" s="89"/>
      <c r="C88" s="90"/>
      <c r="D88" s="89"/>
      <c r="E88" s="122"/>
      <c r="F88" s="126" t="s">
        <v>676</v>
      </c>
      <c r="G88" s="121">
        <v>900000</v>
      </c>
      <c r="H88" s="106" t="s">
        <v>277</v>
      </c>
      <c r="I88" s="108">
        <v>12</v>
      </c>
      <c r="J88" s="106"/>
      <c r="K88" s="108"/>
      <c r="L88" s="109"/>
      <c r="M88" s="108"/>
      <c r="N88" s="110"/>
      <c r="O88" s="110" t="s">
        <v>283</v>
      </c>
      <c r="P88" s="111">
        <f t="shared" si="3"/>
        <v>10800000</v>
      </c>
      <c r="Q88" s="112"/>
      <c r="R88" s="131"/>
      <c r="S88" s="112"/>
      <c r="T88" s="113"/>
    </row>
    <row r="89" spans="1:23" ht="15" customHeight="1">
      <c r="A89" s="88"/>
      <c r="B89" s="89"/>
      <c r="C89" s="90"/>
      <c r="D89" s="89"/>
      <c r="E89" s="122"/>
      <c r="F89" s="126" t="s">
        <v>677</v>
      </c>
      <c r="G89" s="121">
        <v>1750000</v>
      </c>
      <c r="H89" s="106" t="s">
        <v>277</v>
      </c>
      <c r="I89" s="1817">
        <v>4</v>
      </c>
      <c r="J89" s="106"/>
      <c r="K89" s="108"/>
      <c r="L89" s="109"/>
      <c r="M89" s="108"/>
      <c r="N89" s="110"/>
      <c r="O89" s="110" t="s">
        <v>283</v>
      </c>
      <c r="P89" s="111">
        <f t="shared" si="3"/>
        <v>7000000</v>
      </c>
      <c r="Q89" s="112"/>
      <c r="R89" s="131"/>
      <c r="S89" s="112"/>
      <c r="T89" s="113"/>
      <c r="W89" s="944"/>
    </row>
    <row r="90" spans="1:23" ht="15" customHeight="1">
      <c r="A90" s="88"/>
      <c r="B90" s="89"/>
      <c r="C90" s="90"/>
      <c r="D90" s="89"/>
      <c r="E90" s="122"/>
      <c r="F90" s="126" t="s">
        <v>678</v>
      </c>
      <c r="G90" s="121">
        <v>13750000</v>
      </c>
      <c r="H90" s="106" t="s">
        <v>273</v>
      </c>
      <c r="I90" s="1817">
        <v>4</v>
      </c>
      <c r="J90" s="106"/>
      <c r="K90" s="108"/>
      <c r="L90" s="109"/>
      <c r="M90" s="108"/>
      <c r="N90" s="110"/>
      <c r="O90" s="110" t="s">
        <v>283</v>
      </c>
      <c r="P90" s="111">
        <f t="shared" si="3"/>
        <v>55000000</v>
      </c>
      <c r="Q90" s="112"/>
      <c r="R90" s="131"/>
      <c r="S90" s="112"/>
      <c r="T90" s="113"/>
      <c r="W90" s="944"/>
    </row>
    <row r="91" spans="1:23" ht="15" customHeight="1">
      <c r="A91" s="88"/>
      <c r="B91" s="89"/>
      <c r="C91" s="90"/>
      <c r="D91" s="89"/>
      <c r="E91" s="122"/>
      <c r="F91" s="126" t="s">
        <v>525</v>
      </c>
      <c r="G91" s="121">
        <v>200000</v>
      </c>
      <c r="H91" s="106" t="s">
        <v>282</v>
      </c>
      <c r="I91" s="108">
        <v>12</v>
      </c>
      <c r="J91" s="106"/>
      <c r="K91" s="108"/>
      <c r="L91" s="109"/>
      <c r="M91" s="108"/>
      <c r="N91" s="110"/>
      <c r="O91" s="110" t="s">
        <v>283</v>
      </c>
      <c r="P91" s="111">
        <f t="shared" si="3"/>
        <v>2400000</v>
      </c>
      <c r="Q91" s="112"/>
      <c r="R91" s="131"/>
      <c r="S91" s="112"/>
      <c r="T91" s="113"/>
    </row>
    <row r="92" spans="1:23" ht="15" customHeight="1">
      <c r="A92" s="88"/>
      <c r="B92" s="89"/>
      <c r="C92" s="90"/>
      <c r="D92" s="89"/>
      <c r="E92" s="122"/>
      <c r="F92" s="126" t="s">
        <v>679</v>
      </c>
      <c r="G92" s="121">
        <v>1250000</v>
      </c>
      <c r="H92" s="106" t="s">
        <v>273</v>
      </c>
      <c r="I92" s="1817">
        <v>4</v>
      </c>
      <c r="J92" s="106"/>
      <c r="K92" s="108"/>
      <c r="L92" s="109"/>
      <c r="M92" s="108"/>
      <c r="N92" s="110"/>
      <c r="O92" s="110" t="s">
        <v>283</v>
      </c>
      <c r="P92" s="111">
        <f t="shared" si="3"/>
        <v>5000000</v>
      </c>
      <c r="Q92" s="112"/>
      <c r="R92" s="131"/>
      <c r="S92" s="112"/>
      <c r="T92" s="113"/>
      <c r="W92" s="944"/>
    </row>
    <row r="93" spans="1:23" ht="15" customHeight="1">
      <c r="A93" s="88"/>
      <c r="B93" s="89"/>
      <c r="C93" s="90"/>
      <c r="D93" s="89"/>
      <c r="E93" s="122"/>
      <c r="F93" s="126" t="s">
        <v>680</v>
      </c>
      <c r="G93" s="121">
        <v>110000</v>
      </c>
      <c r="H93" s="106" t="s">
        <v>277</v>
      </c>
      <c r="I93" s="143">
        <v>2</v>
      </c>
      <c r="J93" s="106" t="s">
        <v>277</v>
      </c>
      <c r="K93" s="108">
        <v>12</v>
      </c>
      <c r="L93" s="109"/>
      <c r="M93" s="108"/>
      <c r="N93" s="110"/>
      <c r="O93" s="110" t="s">
        <v>283</v>
      </c>
      <c r="P93" s="111">
        <f>ROUNDUP(G93*I93*K93,-3)</f>
        <v>2640000</v>
      </c>
      <c r="Q93" s="112"/>
      <c r="R93" s="131"/>
      <c r="S93" s="112"/>
      <c r="T93" s="113"/>
    </row>
    <row r="94" spans="1:23" ht="15" customHeight="1">
      <c r="A94" s="88"/>
      <c r="B94" s="89"/>
      <c r="C94" s="90"/>
      <c r="D94" s="89"/>
      <c r="E94" s="122"/>
      <c r="F94" s="126" t="s">
        <v>681</v>
      </c>
      <c r="G94" s="121">
        <v>4500000</v>
      </c>
      <c r="H94" s="106" t="s">
        <v>277</v>
      </c>
      <c r="I94" s="142">
        <v>1</v>
      </c>
      <c r="J94" s="106"/>
      <c r="K94" s="108"/>
      <c r="L94" s="109"/>
      <c r="M94" s="108"/>
      <c r="N94" s="110"/>
      <c r="O94" s="110" t="s">
        <v>283</v>
      </c>
      <c r="P94" s="111">
        <f>ROUNDUP(G94*I94,-3)</f>
        <v>4500000</v>
      </c>
      <c r="Q94" s="112"/>
      <c r="R94" s="131"/>
      <c r="S94" s="112"/>
      <c r="T94" s="113"/>
    </row>
    <row r="95" spans="1:23" ht="15" customHeight="1">
      <c r="A95" s="88"/>
      <c r="B95" s="89"/>
      <c r="C95" s="90"/>
      <c r="D95" s="89"/>
      <c r="E95" s="122"/>
      <c r="F95" s="126" t="s">
        <v>682</v>
      </c>
      <c r="G95" s="121">
        <v>1500000</v>
      </c>
      <c r="H95" s="106" t="s">
        <v>277</v>
      </c>
      <c r="I95" s="1817">
        <v>4</v>
      </c>
      <c r="J95" s="106"/>
      <c r="K95" s="108"/>
      <c r="L95" s="109"/>
      <c r="M95" s="108"/>
      <c r="N95" s="110"/>
      <c r="O95" s="110" t="s">
        <v>274</v>
      </c>
      <c r="P95" s="111">
        <f>ROUNDUP(G95*I95,-3)</f>
        <v>6000000</v>
      </c>
      <c r="Q95" s="112"/>
      <c r="R95" s="131"/>
      <c r="S95" s="112"/>
      <c r="T95" s="113"/>
      <c r="W95" s="944"/>
    </row>
    <row r="96" spans="1:23" ht="15" customHeight="1">
      <c r="A96" s="88"/>
      <c r="B96" s="89"/>
      <c r="C96" s="90"/>
      <c r="D96" s="89"/>
      <c r="E96" s="122"/>
      <c r="F96" s="126" t="s">
        <v>411</v>
      </c>
      <c r="G96" s="121">
        <v>140000</v>
      </c>
      <c r="H96" s="106" t="s">
        <v>277</v>
      </c>
      <c r="I96" s="108">
        <v>12</v>
      </c>
      <c r="J96" s="106"/>
      <c r="K96" s="108"/>
      <c r="L96" s="109"/>
      <c r="M96" s="108"/>
      <c r="N96" s="110"/>
      <c r="O96" s="110" t="s">
        <v>283</v>
      </c>
      <c r="P96" s="111">
        <f>ROUNDUP(G96*I96,-3)</f>
        <v>1680000</v>
      </c>
      <c r="Q96" s="112"/>
      <c r="R96" s="131"/>
      <c r="S96" s="112"/>
      <c r="T96" s="113"/>
    </row>
    <row r="97" spans="1:20" ht="15" customHeight="1">
      <c r="A97" s="88"/>
      <c r="B97" s="89"/>
      <c r="C97" s="90"/>
      <c r="D97" s="89"/>
      <c r="E97" s="510" t="s">
        <v>683</v>
      </c>
      <c r="F97" s="515"/>
      <c r="G97" s="511"/>
      <c r="H97" s="510"/>
      <c r="I97" s="510"/>
      <c r="J97" s="510"/>
      <c r="K97" s="510"/>
      <c r="L97" s="512"/>
      <c r="M97" s="510"/>
      <c r="N97" s="513"/>
      <c r="O97" s="513"/>
      <c r="P97" s="510"/>
      <c r="Q97" s="171">
        <f>+P98</f>
        <v>840000</v>
      </c>
      <c r="R97" s="171">
        <v>756000</v>
      </c>
      <c r="S97" s="171">
        <f>Q97-R97</f>
        <v>84000</v>
      </c>
      <c r="T97" s="172">
        <f t="shared" si="2"/>
        <v>0.1111111111111111</v>
      </c>
    </row>
    <row r="98" spans="1:20" ht="15" customHeight="1">
      <c r="A98" s="88"/>
      <c r="B98" s="89"/>
      <c r="C98" s="90"/>
      <c r="D98" s="89"/>
      <c r="E98" s="90"/>
      <c r="F98" s="96" t="s">
        <v>412</v>
      </c>
      <c r="G98" s="123"/>
      <c r="H98" s="106"/>
      <c r="I98" s="106"/>
      <c r="J98" s="106"/>
      <c r="K98" s="106"/>
      <c r="L98" s="124"/>
      <c r="M98" s="106"/>
      <c r="N98" s="110"/>
      <c r="O98" s="110"/>
      <c r="P98" s="938">
        <f>SUM(P99:P99)</f>
        <v>840000</v>
      </c>
      <c r="Q98" s="112"/>
      <c r="R98" s="131"/>
      <c r="S98" s="112"/>
      <c r="T98" s="113"/>
    </row>
    <row r="99" spans="1:20" ht="15" customHeight="1">
      <c r="A99" s="88"/>
      <c r="B99" s="89"/>
      <c r="C99" s="90"/>
      <c r="D99" s="89"/>
      <c r="E99" s="122"/>
      <c r="F99" s="126" t="s">
        <v>413</v>
      </c>
      <c r="G99" s="121">
        <v>70000</v>
      </c>
      <c r="H99" s="106" t="s">
        <v>282</v>
      </c>
      <c r="I99" s="143">
        <v>1</v>
      </c>
      <c r="J99" s="106" t="s">
        <v>109</v>
      </c>
      <c r="K99" s="108">
        <v>12</v>
      </c>
      <c r="L99" s="109"/>
      <c r="M99" s="108"/>
      <c r="N99" s="110"/>
      <c r="O99" s="110" t="s">
        <v>281</v>
      </c>
      <c r="P99" s="111">
        <f>G99*I99*K99</f>
        <v>840000</v>
      </c>
      <c r="Q99" s="112"/>
      <c r="R99" s="131"/>
      <c r="S99" s="112"/>
      <c r="T99" s="113"/>
    </row>
    <row r="100" spans="1:20" ht="15" customHeight="1">
      <c r="A100" s="88"/>
      <c r="B100" s="89"/>
      <c r="C100" s="90"/>
      <c r="D100" s="89"/>
      <c r="E100" s="510" t="s">
        <v>684</v>
      </c>
      <c r="F100" s="515"/>
      <c r="G100" s="511"/>
      <c r="H100" s="510"/>
      <c r="I100" s="510"/>
      <c r="J100" s="510"/>
      <c r="K100" s="510"/>
      <c r="L100" s="512"/>
      <c r="M100" s="510"/>
      <c r="N100" s="513"/>
      <c r="O100" s="513"/>
      <c r="P100" s="510"/>
      <c r="Q100" s="171">
        <f>+P101</f>
        <v>6789000</v>
      </c>
      <c r="R100" s="171">
        <v>6616000</v>
      </c>
      <c r="S100" s="171">
        <f>Q100-R100</f>
        <v>173000</v>
      </c>
      <c r="T100" s="172">
        <f t="shared" si="2"/>
        <v>2.6148730350665055E-2</v>
      </c>
    </row>
    <row r="101" spans="1:20" ht="15" customHeight="1">
      <c r="A101" s="88"/>
      <c r="B101" s="89"/>
      <c r="C101" s="90"/>
      <c r="D101" s="89"/>
      <c r="E101" s="144"/>
      <c r="F101" s="145" t="s">
        <v>685</v>
      </c>
      <c r="G101" s="146"/>
      <c r="H101" s="147"/>
      <c r="I101" s="147"/>
      <c r="J101" s="147"/>
      <c r="K101" s="147"/>
      <c r="L101" s="148"/>
      <c r="M101" s="147"/>
      <c r="N101" s="149"/>
      <c r="O101" s="149"/>
      <c r="P101" s="1445">
        <f>SUM(P102:P105)</f>
        <v>6789000</v>
      </c>
      <c r="Q101" s="151"/>
      <c r="R101" s="152"/>
      <c r="S101" s="151"/>
      <c r="T101" s="153"/>
    </row>
    <row r="102" spans="1:20" ht="15" customHeight="1">
      <c r="A102" s="88"/>
      <c r="B102" s="89"/>
      <c r="C102" s="90"/>
      <c r="D102" s="89"/>
      <c r="E102" s="122"/>
      <c r="F102" s="126" t="s">
        <v>415</v>
      </c>
      <c r="G102" s="121">
        <v>5100000</v>
      </c>
      <c r="H102" s="106" t="s">
        <v>277</v>
      </c>
      <c r="I102" s="142">
        <v>1</v>
      </c>
      <c r="J102" s="106"/>
      <c r="K102" s="108"/>
      <c r="L102" s="109"/>
      <c r="M102" s="108"/>
      <c r="N102" s="110"/>
      <c r="O102" s="110" t="s">
        <v>283</v>
      </c>
      <c r="P102" s="111">
        <f>ROUNDUP(G102*I102,-3)</f>
        <v>5100000</v>
      </c>
      <c r="Q102" s="112"/>
      <c r="R102" s="131"/>
      <c r="S102" s="112"/>
      <c r="T102" s="113"/>
    </row>
    <row r="103" spans="1:20" ht="15" customHeight="1">
      <c r="A103" s="88"/>
      <c r="B103" s="89"/>
      <c r="C103" s="90"/>
      <c r="D103" s="89"/>
      <c r="E103" s="103"/>
      <c r="F103" s="104" t="s">
        <v>526</v>
      </c>
      <c r="G103" s="123">
        <v>1389000</v>
      </c>
      <c r="H103" s="106" t="s">
        <v>277</v>
      </c>
      <c r="I103" s="142">
        <v>1</v>
      </c>
      <c r="J103" s="106"/>
      <c r="K103" s="108"/>
      <c r="L103" s="109"/>
      <c r="M103" s="108"/>
      <c r="N103" s="110"/>
      <c r="O103" s="110" t="s">
        <v>283</v>
      </c>
      <c r="P103" s="111">
        <f>ROUNDUP(G103*I103,-3)</f>
        <v>1389000</v>
      </c>
      <c r="Q103" s="112"/>
      <c r="R103" s="131"/>
      <c r="S103" s="112"/>
      <c r="T103" s="113"/>
    </row>
    <row r="104" spans="1:20" ht="15" customHeight="1">
      <c r="A104" s="88"/>
      <c r="B104" s="89"/>
      <c r="C104" s="90"/>
      <c r="D104" s="89"/>
      <c r="E104" s="103"/>
      <c r="F104" s="104" t="s">
        <v>686</v>
      </c>
      <c r="G104" s="123">
        <v>150000</v>
      </c>
      <c r="H104" s="106" t="s">
        <v>277</v>
      </c>
      <c r="I104" s="142">
        <v>1</v>
      </c>
      <c r="J104" s="106"/>
      <c r="K104" s="108"/>
      <c r="L104" s="109"/>
      <c r="M104" s="108"/>
      <c r="N104" s="110"/>
      <c r="O104" s="110" t="s">
        <v>283</v>
      </c>
      <c r="P104" s="111">
        <f>ROUNDUP(G104*I104,-3)</f>
        <v>150000</v>
      </c>
      <c r="Q104" s="112"/>
      <c r="R104" s="131"/>
      <c r="S104" s="112"/>
      <c r="T104" s="113"/>
    </row>
    <row r="105" spans="1:20" ht="15" customHeight="1">
      <c r="A105" s="88"/>
      <c r="B105" s="89"/>
      <c r="C105" s="90"/>
      <c r="D105" s="89"/>
      <c r="E105" s="103"/>
      <c r="F105" s="104" t="s">
        <v>416</v>
      </c>
      <c r="G105" s="123">
        <v>150000</v>
      </c>
      <c r="H105" s="106" t="s">
        <v>273</v>
      </c>
      <c r="I105" s="142">
        <v>1</v>
      </c>
      <c r="J105" s="106"/>
      <c r="K105" s="108"/>
      <c r="L105" s="109"/>
      <c r="M105" s="108"/>
      <c r="N105" s="110"/>
      <c r="O105" s="110" t="s">
        <v>283</v>
      </c>
      <c r="P105" s="111">
        <f>ROUNDUP(G105*I105,-3)</f>
        <v>150000</v>
      </c>
      <c r="Q105" s="112"/>
      <c r="R105" s="131"/>
      <c r="S105" s="112"/>
      <c r="T105" s="113"/>
    </row>
    <row r="106" spans="1:20" ht="15" customHeight="1">
      <c r="A106" s="88"/>
      <c r="B106" s="89"/>
      <c r="C106" s="90"/>
      <c r="D106" s="89"/>
      <c r="E106" s="510" t="s">
        <v>417</v>
      </c>
      <c r="F106" s="515"/>
      <c r="G106" s="511"/>
      <c r="H106" s="510"/>
      <c r="I106" s="510"/>
      <c r="J106" s="510"/>
      <c r="K106" s="510"/>
      <c r="L106" s="512"/>
      <c r="M106" s="510"/>
      <c r="N106" s="513"/>
      <c r="O106" s="513"/>
      <c r="P106" s="510"/>
      <c r="Q106" s="171">
        <f>+P107</f>
        <v>6555000</v>
      </c>
      <c r="R106" s="171">
        <v>500000</v>
      </c>
      <c r="S106" s="171">
        <f>Q106-R106</f>
        <v>6055000</v>
      </c>
      <c r="T106" s="172">
        <f t="shared" si="2"/>
        <v>12.11</v>
      </c>
    </row>
    <row r="107" spans="1:20" ht="15" customHeight="1">
      <c r="A107" s="88"/>
      <c r="B107" s="89"/>
      <c r="C107" s="90"/>
      <c r="D107" s="89"/>
      <c r="E107" s="90"/>
      <c r="F107" s="96" t="s">
        <v>447</v>
      </c>
      <c r="G107" s="123"/>
      <c r="H107" s="106"/>
      <c r="I107" s="106"/>
      <c r="J107" s="106"/>
      <c r="K107" s="106"/>
      <c r="L107" s="124"/>
      <c r="M107" s="106"/>
      <c r="N107" s="110"/>
      <c r="O107" s="110"/>
      <c r="P107" s="938">
        <f>SUM(P108:P112)</f>
        <v>6555000</v>
      </c>
      <c r="Q107" s="112"/>
      <c r="R107" s="131"/>
      <c r="S107" s="112"/>
      <c r="T107" s="113"/>
    </row>
    <row r="108" spans="1:20" ht="15" customHeight="1">
      <c r="A108" s="88"/>
      <c r="B108" s="89"/>
      <c r="C108" s="90"/>
      <c r="D108" s="89"/>
      <c r="E108" s="90"/>
      <c r="F108" s="126" t="s">
        <v>687</v>
      </c>
      <c r="G108" s="121">
        <v>400000</v>
      </c>
      <c r="H108" s="106" t="s">
        <v>282</v>
      </c>
      <c r="I108" s="108">
        <v>12</v>
      </c>
      <c r="J108" s="106"/>
      <c r="K108" s="108"/>
      <c r="L108" s="109"/>
      <c r="M108" s="108"/>
      <c r="N108" s="110"/>
      <c r="O108" s="110" t="s">
        <v>281</v>
      </c>
      <c r="P108" s="111">
        <f>ROUNDUP(G108*I108,-3)</f>
        <v>4800000</v>
      </c>
      <c r="Q108" s="112"/>
      <c r="R108" s="131"/>
      <c r="S108" s="112"/>
      <c r="T108" s="113"/>
    </row>
    <row r="109" spans="1:20" ht="15" customHeight="1">
      <c r="A109" s="88"/>
      <c r="B109" s="89"/>
      <c r="C109" s="90"/>
      <c r="D109" s="89"/>
      <c r="E109" s="90"/>
      <c r="F109" s="126" t="s">
        <v>419</v>
      </c>
      <c r="G109" s="121">
        <v>80000</v>
      </c>
      <c r="H109" s="106" t="s">
        <v>282</v>
      </c>
      <c r="I109" s="108">
        <v>12</v>
      </c>
      <c r="J109" s="106"/>
      <c r="K109" s="108"/>
      <c r="L109" s="109"/>
      <c r="M109" s="108"/>
      <c r="N109" s="110"/>
      <c r="O109" s="110" t="s">
        <v>283</v>
      </c>
      <c r="P109" s="111">
        <f>ROUNDUP(G109*I109,-3)</f>
        <v>960000</v>
      </c>
      <c r="Q109" s="112"/>
      <c r="R109" s="131"/>
      <c r="S109" s="112"/>
      <c r="T109" s="113"/>
    </row>
    <row r="110" spans="1:20" ht="15" customHeight="1">
      <c r="A110" s="88"/>
      <c r="B110" s="89"/>
      <c r="C110" s="90"/>
      <c r="D110" s="89"/>
      <c r="E110" s="90"/>
      <c r="F110" s="126" t="s">
        <v>420</v>
      </c>
      <c r="G110" s="121">
        <v>50000</v>
      </c>
      <c r="H110" s="106" t="s">
        <v>277</v>
      </c>
      <c r="I110" s="142">
        <v>1</v>
      </c>
      <c r="J110" s="106"/>
      <c r="K110" s="108"/>
      <c r="L110" s="109"/>
      <c r="M110" s="108"/>
      <c r="N110" s="110"/>
      <c r="O110" s="110" t="s">
        <v>283</v>
      </c>
      <c r="P110" s="111">
        <f>ROUNDUP(G110*I110,-3)</f>
        <v>50000</v>
      </c>
      <c r="Q110" s="112"/>
      <c r="R110" s="131"/>
      <c r="S110" s="112"/>
      <c r="T110" s="113"/>
    </row>
    <row r="111" spans="1:20" ht="15" customHeight="1">
      <c r="A111" s="88"/>
      <c r="B111" s="89"/>
      <c r="C111" s="90"/>
      <c r="D111" s="89"/>
      <c r="E111" s="90"/>
      <c r="F111" s="126" t="s">
        <v>421</v>
      </c>
      <c r="G111" s="121">
        <v>245000</v>
      </c>
      <c r="H111" s="106" t="s">
        <v>277</v>
      </c>
      <c r="I111" s="142">
        <v>1</v>
      </c>
      <c r="J111" s="106"/>
      <c r="K111" s="108"/>
      <c r="L111" s="109"/>
      <c r="M111" s="108"/>
      <c r="N111" s="110"/>
      <c r="O111" s="110" t="s">
        <v>283</v>
      </c>
      <c r="P111" s="111">
        <f>ROUNDUP(G111*I111,-3)</f>
        <v>245000</v>
      </c>
      <c r="Q111" s="112"/>
      <c r="R111" s="131"/>
      <c r="S111" s="112"/>
      <c r="T111" s="113"/>
    </row>
    <row r="112" spans="1:20" ht="15" customHeight="1">
      <c r="A112" s="561"/>
      <c r="B112" s="562"/>
      <c r="C112" s="563"/>
      <c r="D112" s="562"/>
      <c r="E112" s="571"/>
      <c r="F112" s="160" t="s">
        <v>688</v>
      </c>
      <c r="G112" s="161">
        <v>500000</v>
      </c>
      <c r="H112" s="162" t="s">
        <v>277</v>
      </c>
      <c r="I112" s="963">
        <v>1</v>
      </c>
      <c r="J112" s="162"/>
      <c r="K112" s="163"/>
      <c r="L112" s="164"/>
      <c r="M112" s="163"/>
      <c r="N112" s="165"/>
      <c r="O112" s="165" t="s">
        <v>283</v>
      </c>
      <c r="P112" s="166">
        <f>ROUNDUP(G112*I112,-3)</f>
        <v>500000</v>
      </c>
      <c r="Q112" s="167"/>
      <c r="R112" s="168"/>
      <c r="S112" s="167"/>
      <c r="T112" s="169"/>
    </row>
    <row r="113" spans="1:25" ht="15" customHeight="1">
      <c r="A113" s="1443"/>
      <c r="B113" s="170"/>
      <c r="C113" s="144"/>
      <c r="D113" s="170"/>
      <c r="E113" s="510" t="s">
        <v>689</v>
      </c>
      <c r="F113" s="515"/>
      <c r="G113" s="511"/>
      <c r="H113" s="510"/>
      <c r="I113" s="510"/>
      <c r="J113" s="510"/>
      <c r="K113" s="510"/>
      <c r="L113" s="512"/>
      <c r="M113" s="510"/>
      <c r="N113" s="513"/>
      <c r="O113" s="513"/>
      <c r="P113" s="510"/>
      <c r="Q113" s="171">
        <f>+P114</f>
        <v>10000000</v>
      </c>
      <c r="R113" s="171">
        <v>10000000</v>
      </c>
      <c r="S113" s="171">
        <f>Q113-R113</f>
        <v>0</v>
      </c>
      <c r="T113" s="172">
        <f t="shared" si="2"/>
        <v>0</v>
      </c>
    </row>
    <row r="114" spans="1:25" ht="15" customHeight="1">
      <c r="A114" s="88"/>
      <c r="B114" s="89"/>
      <c r="C114" s="90"/>
      <c r="D114" s="89"/>
      <c r="E114" s="90"/>
      <c r="F114" s="96" t="s">
        <v>690</v>
      </c>
      <c r="G114" s="123"/>
      <c r="H114" s="106"/>
      <c r="I114" s="106"/>
      <c r="J114" s="106"/>
      <c r="K114" s="106"/>
      <c r="L114" s="124"/>
      <c r="M114" s="106"/>
      <c r="N114" s="110"/>
      <c r="O114" s="110"/>
      <c r="P114" s="938">
        <f>SUM(P115:P117)</f>
        <v>10000000</v>
      </c>
      <c r="Q114" s="112"/>
      <c r="R114" s="131"/>
      <c r="S114" s="112"/>
      <c r="T114" s="113"/>
    </row>
    <row r="115" spans="1:25" ht="15" customHeight="1">
      <c r="A115" s="88"/>
      <c r="B115" s="89"/>
      <c r="C115" s="90"/>
      <c r="D115" s="89"/>
      <c r="E115" s="122"/>
      <c r="F115" s="126" t="s">
        <v>691</v>
      </c>
      <c r="G115" s="121">
        <v>1250000</v>
      </c>
      <c r="H115" s="106" t="s">
        <v>282</v>
      </c>
      <c r="I115" s="1817">
        <v>4</v>
      </c>
      <c r="J115" s="106"/>
      <c r="K115" s="108"/>
      <c r="L115" s="109"/>
      <c r="M115" s="108"/>
      <c r="N115" s="110"/>
      <c r="O115" s="110" t="s">
        <v>281</v>
      </c>
      <c r="P115" s="111">
        <f>ROUNDUP(G115*I115,-3)</f>
        <v>5000000</v>
      </c>
      <c r="Q115" s="112"/>
      <c r="R115" s="131"/>
      <c r="S115" s="112"/>
      <c r="T115" s="113"/>
      <c r="V115" s="944"/>
    </row>
    <row r="116" spans="1:25" ht="15" customHeight="1">
      <c r="A116" s="88"/>
      <c r="B116" s="89"/>
      <c r="C116" s="90"/>
      <c r="D116" s="89"/>
      <c r="E116" s="103"/>
      <c r="F116" s="104" t="s">
        <v>692</v>
      </c>
      <c r="G116" s="123">
        <v>1000000</v>
      </c>
      <c r="H116" s="106" t="s">
        <v>282</v>
      </c>
      <c r="I116" s="1817">
        <v>4</v>
      </c>
      <c r="J116" s="106"/>
      <c r="K116" s="108"/>
      <c r="L116" s="109"/>
      <c r="M116" s="108"/>
      <c r="N116" s="110"/>
      <c r="O116" s="110" t="s">
        <v>281</v>
      </c>
      <c r="P116" s="111">
        <f>ROUNDUP(G116*I116,-3)</f>
        <v>4000000</v>
      </c>
      <c r="Q116" s="112"/>
      <c r="R116" s="131"/>
      <c r="S116" s="112"/>
      <c r="T116" s="113"/>
      <c r="V116" s="944"/>
    </row>
    <row r="117" spans="1:25" ht="15" customHeight="1">
      <c r="A117" s="88"/>
      <c r="B117" s="89"/>
      <c r="C117" s="90"/>
      <c r="D117" s="89"/>
      <c r="E117" s="103"/>
      <c r="F117" s="104" t="s">
        <v>423</v>
      </c>
      <c r="G117" s="123">
        <v>250000</v>
      </c>
      <c r="H117" s="106" t="s">
        <v>282</v>
      </c>
      <c r="I117" s="1817">
        <v>4</v>
      </c>
      <c r="J117" s="106"/>
      <c r="K117" s="108"/>
      <c r="L117" s="109"/>
      <c r="M117" s="108"/>
      <c r="N117" s="110"/>
      <c r="O117" s="110" t="s">
        <v>283</v>
      </c>
      <c r="P117" s="111">
        <f>ROUNDUP(G117*I117,-3)</f>
        <v>1000000</v>
      </c>
      <c r="Q117" s="112"/>
      <c r="R117" s="131"/>
      <c r="S117" s="112"/>
      <c r="T117" s="113"/>
      <c r="V117" s="944"/>
    </row>
    <row r="118" spans="1:25" ht="15" customHeight="1">
      <c r="A118" s="88"/>
      <c r="B118" s="89"/>
      <c r="C118" s="90"/>
      <c r="D118" s="89"/>
      <c r="E118" s="510" t="s">
        <v>424</v>
      </c>
      <c r="F118" s="515"/>
      <c r="G118" s="511"/>
      <c r="H118" s="510"/>
      <c r="I118" s="510"/>
      <c r="J118" s="510"/>
      <c r="K118" s="510"/>
      <c r="L118" s="512"/>
      <c r="M118" s="510"/>
      <c r="N118" s="513"/>
      <c r="O118" s="513"/>
      <c r="P118" s="510"/>
      <c r="Q118" s="171">
        <f>+P119</f>
        <v>2000000</v>
      </c>
      <c r="R118" s="171">
        <v>2000000</v>
      </c>
      <c r="S118" s="171">
        <f>Q118-R118</f>
        <v>0</v>
      </c>
      <c r="T118" s="172">
        <f>S118/R118</f>
        <v>0</v>
      </c>
    </row>
    <row r="119" spans="1:25" ht="15" customHeight="1">
      <c r="A119" s="88"/>
      <c r="B119" s="89"/>
      <c r="C119" s="90"/>
      <c r="D119" s="89"/>
      <c r="E119" s="90"/>
      <c r="F119" s="96" t="s">
        <v>693</v>
      </c>
      <c r="G119" s="123"/>
      <c r="H119" s="106"/>
      <c r="I119" s="106"/>
      <c r="J119" s="106"/>
      <c r="K119" s="106"/>
      <c r="L119" s="124"/>
      <c r="M119" s="106"/>
      <c r="N119" s="110"/>
      <c r="O119" s="110"/>
      <c r="P119" s="938">
        <f>SUM(P120:P120)</f>
        <v>2000000</v>
      </c>
      <c r="Q119" s="112"/>
      <c r="R119" s="131"/>
      <c r="S119" s="112"/>
      <c r="T119" s="113"/>
    </row>
    <row r="120" spans="1:25" ht="15" customHeight="1">
      <c r="A120" s="88"/>
      <c r="B120" s="89"/>
      <c r="C120" s="90"/>
      <c r="D120" s="89"/>
      <c r="E120" s="122"/>
      <c r="F120" s="126" t="s">
        <v>694</v>
      </c>
      <c r="G120" s="121">
        <v>1000000</v>
      </c>
      <c r="H120" s="106" t="s">
        <v>273</v>
      </c>
      <c r="I120" s="142">
        <v>2</v>
      </c>
      <c r="J120" s="106"/>
      <c r="K120" s="108"/>
      <c r="L120" s="109"/>
      <c r="M120" s="108"/>
      <c r="N120" s="110"/>
      <c r="O120" s="110" t="s">
        <v>274</v>
      </c>
      <c r="P120" s="111">
        <f>ROUNDUP(G120*I120,-3)</f>
        <v>2000000</v>
      </c>
      <c r="Q120" s="112"/>
      <c r="R120" s="131"/>
      <c r="S120" s="112"/>
      <c r="T120" s="113"/>
    </row>
    <row r="121" spans="1:25" ht="15" customHeight="1">
      <c r="A121" s="88"/>
      <c r="B121" s="89"/>
      <c r="C121" s="90"/>
      <c r="D121" s="89"/>
      <c r="E121" s="510" t="s">
        <v>457</v>
      </c>
      <c r="F121" s="515"/>
      <c r="G121" s="511"/>
      <c r="H121" s="510"/>
      <c r="I121" s="510"/>
      <c r="J121" s="510"/>
      <c r="K121" s="510"/>
      <c r="L121" s="512"/>
      <c r="M121" s="510"/>
      <c r="N121" s="513"/>
      <c r="O121" s="513"/>
      <c r="P121" s="510"/>
      <c r="Q121" s="171">
        <f>+P122</f>
        <v>3000000</v>
      </c>
      <c r="R121" s="171">
        <v>3000000</v>
      </c>
      <c r="S121" s="171">
        <f>Q121-R121</f>
        <v>0</v>
      </c>
      <c r="T121" s="172">
        <f t="shared" ref="T121" si="4">S121/R121</f>
        <v>0</v>
      </c>
    </row>
    <row r="122" spans="1:25" ht="15" customHeight="1">
      <c r="A122" s="88"/>
      <c r="B122" s="89"/>
      <c r="C122" s="90"/>
      <c r="D122" s="89"/>
      <c r="E122" s="90"/>
      <c r="F122" s="96" t="s">
        <v>695</v>
      </c>
      <c r="G122" s="123"/>
      <c r="H122" s="106"/>
      <c r="I122" s="106"/>
      <c r="J122" s="106"/>
      <c r="K122" s="106"/>
      <c r="L122" s="124"/>
      <c r="M122" s="106"/>
      <c r="N122" s="110"/>
      <c r="O122" s="110"/>
      <c r="P122" s="938">
        <f>SUM(P123:P123)</f>
        <v>3000000</v>
      </c>
      <c r="Q122" s="112"/>
      <c r="R122" s="131"/>
      <c r="S122" s="112"/>
      <c r="T122" s="113"/>
    </row>
    <row r="123" spans="1:25" ht="15" customHeight="1">
      <c r="A123" s="88"/>
      <c r="B123" s="89"/>
      <c r="C123" s="90"/>
      <c r="D123" s="562"/>
      <c r="E123" s="103"/>
      <c r="F123" s="104" t="s">
        <v>696</v>
      </c>
      <c r="G123" s="123">
        <v>1000000</v>
      </c>
      <c r="H123" s="106" t="s">
        <v>273</v>
      </c>
      <c r="I123" s="156">
        <v>3</v>
      </c>
      <c r="J123" s="106"/>
      <c r="K123" s="108"/>
      <c r="L123" s="109"/>
      <c r="M123" s="108"/>
      <c r="N123" s="110"/>
      <c r="O123" s="110" t="s">
        <v>274</v>
      </c>
      <c r="P123" s="111">
        <f>ROUNDUP(G123*I123,-3)</f>
        <v>3000000</v>
      </c>
      <c r="Q123" s="112"/>
      <c r="R123" s="131"/>
      <c r="S123" s="112"/>
      <c r="T123" s="113"/>
    </row>
    <row r="124" spans="1:25" ht="15" customHeight="1">
      <c r="A124" s="88"/>
      <c r="B124" s="81"/>
      <c r="C124" s="174" t="s">
        <v>427</v>
      </c>
      <c r="D124" s="173"/>
      <c r="E124" s="418"/>
      <c r="F124" s="1459"/>
      <c r="G124" s="947"/>
      <c r="H124" s="946"/>
      <c r="I124" s="946"/>
      <c r="J124" s="946"/>
      <c r="K124" s="946"/>
      <c r="L124" s="1460"/>
      <c r="M124" s="946"/>
      <c r="N124" s="948"/>
      <c r="O124" s="948"/>
      <c r="P124" s="946"/>
      <c r="Q124" s="935">
        <f>Q125+Q133</f>
        <v>65000000</v>
      </c>
      <c r="R124" s="935">
        <f>SUM(R125,R133)</f>
        <v>65000000</v>
      </c>
      <c r="S124" s="935">
        <f>Q124-R124</f>
        <v>0</v>
      </c>
      <c r="T124" s="936">
        <f t="shared" ref="T124" si="5">S124/R124</f>
        <v>0</v>
      </c>
      <c r="Y124" s="918"/>
    </row>
    <row r="125" spans="1:25" s="1468" customFormat="1" ht="15" customHeight="1">
      <c r="A125" s="1461"/>
      <c r="B125" s="1462"/>
      <c r="C125" s="1463"/>
      <c r="D125" s="1296" t="s">
        <v>268</v>
      </c>
      <c r="E125" s="1464"/>
      <c r="F125" s="1464"/>
      <c r="G125" s="1465"/>
      <c r="H125" s="1464"/>
      <c r="I125" s="1464"/>
      <c r="J125" s="1464"/>
      <c r="K125" s="1464"/>
      <c r="L125" s="1466"/>
      <c r="M125" s="1464"/>
      <c r="N125" s="1467"/>
      <c r="O125" s="1467"/>
      <c r="P125" s="1464"/>
      <c r="Q125" s="1301">
        <f>Q126+Q130</f>
        <v>0</v>
      </c>
      <c r="R125" s="76">
        <f>SUM(R126,R130)</f>
        <v>0</v>
      </c>
      <c r="S125" s="76">
        <f>Q125-R125</f>
        <v>0</v>
      </c>
      <c r="T125" s="1302">
        <v>0</v>
      </c>
      <c r="Y125" s="918"/>
    </row>
    <row r="126" spans="1:25" s="1468" customFormat="1" ht="15" customHeight="1">
      <c r="A126" s="1461"/>
      <c r="B126" s="1469"/>
      <c r="C126" s="1470"/>
      <c r="D126" s="1471"/>
      <c r="E126" s="952" t="s">
        <v>269</v>
      </c>
      <c r="F126" s="952"/>
      <c r="G126" s="1472"/>
      <c r="H126" s="952"/>
      <c r="I126" s="952"/>
      <c r="J126" s="952"/>
      <c r="K126" s="952"/>
      <c r="L126" s="1473"/>
      <c r="M126" s="952"/>
      <c r="N126" s="1474"/>
      <c r="O126" s="1474"/>
      <c r="P126" s="952"/>
      <c r="Q126" s="1475">
        <f>P127+P129</f>
        <v>0</v>
      </c>
      <c r="R126" s="1475">
        <v>0</v>
      </c>
      <c r="S126" s="1475">
        <f>Q126-R126</f>
        <v>0</v>
      </c>
      <c r="T126" s="1476">
        <v>0</v>
      </c>
      <c r="Y126" s="918"/>
    </row>
    <row r="127" spans="1:25" s="1468" customFormat="1" ht="15" hidden="1" customHeight="1">
      <c r="A127" s="1461"/>
      <c r="B127" s="1469"/>
      <c r="C127" s="1470"/>
      <c r="D127" s="1469"/>
      <c r="E127" s="967"/>
      <c r="F127" s="1477" t="s">
        <v>697</v>
      </c>
      <c r="G127" s="1478"/>
      <c r="H127" s="967"/>
      <c r="I127" s="967"/>
      <c r="J127" s="967"/>
      <c r="K127" s="967"/>
      <c r="L127" s="1479"/>
      <c r="M127" s="967"/>
      <c r="N127" s="1480"/>
      <c r="O127" s="1480"/>
      <c r="P127" s="1481">
        <f>P128</f>
        <v>0</v>
      </c>
      <c r="Q127" s="1482"/>
      <c r="R127" s="1482"/>
      <c r="S127" s="1482"/>
      <c r="T127" s="1483"/>
      <c r="Y127" s="918"/>
    </row>
    <row r="128" spans="1:25" s="1468" customFormat="1" ht="15" hidden="1" customHeight="1">
      <c r="A128" s="1461"/>
      <c r="B128" s="1469"/>
      <c r="C128" s="1470"/>
      <c r="D128" s="1469"/>
      <c r="E128" s="967"/>
      <c r="F128" s="126" t="s">
        <v>698</v>
      </c>
      <c r="G128" s="1478"/>
      <c r="H128" s="106"/>
      <c r="I128" s="156"/>
      <c r="J128" s="967"/>
      <c r="K128" s="967"/>
      <c r="L128" s="1479"/>
      <c r="M128" s="967"/>
      <c r="N128" s="1480"/>
      <c r="O128" s="1480"/>
      <c r="P128" s="1484"/>
      <c r="Q128" s="1482"/>
      <c r="R128" s="1482"/>
      <c r="S128" s="1482"/>
      <c r="T128" s="1483"/>
      <c r="Y128" s="918"/>
    </row>
    <row r="129" spans="1:25" s="1468" customFormat="1" ht="15" hidden="1" customHeight="1">
      <c r="A129" s="1461"/>
      <c r="B129" s="1469"/>
      <c r="C129" s="1470"/>
      <c r="D129" s="1469"/>
      <c r="E129" s="967"/>
      <c r="F129" s="1477" t="s">
        <v>699</v>
      </c>
      <c r="G129" s="1478"/>
      <c r="H129" s="106"/>
      <c r="I129" s="156"/>
      <c r="J129" s="967"/>
      <c r="K129" s="967"/>
      <c r="L129" s="1479"/>
      <c r="M129" s="967"/>
      <c r="N129" s="1480"/>
      <c r="O129" s="1480"/>
      <c r="P129" s="1484"/>
      <c r="Q129" s="1485"/>
      <c r="R129" s="1486"/>
      <c r="S129" s="1486"/>
      <c r="T129" s="1487"/>
      <c r="Y129" s="918"/>
    </row>
    <row r="130" spans="1:25" ht="15" customHeight="1">
      <c r="A130" s="88"/>
      <c r="B130" s="89"/>
      <c r="C130" s="90"/>
      <c r="D130" s="89"/>
      <c r="E130" s="514" t="s">
        <v>700</v>
      </c>
      <c r="F130" s="510"/>
      <c r="G130" s="511"/>
      <c r="H130" s="510"/>
      <c r="I130" s="510"/>
      <c r="J130" s="510"/>
      <c r="K130" s="510"/>
      <c r="L130" s="512"/>
      <c r="M130" s="510"/>
      <c r="N130" s="513"/>
      <c r="O130" s="510"/>
      <c r="P130" s="513"/>
      <c r="Q130" s="1475">
        <f>P131+P133</f>
        <v>0</v>
      </c>
      <c r="R130" s="171">
        <f>+P132</f>
        <v>0</v>
      </c>
      <c r="S130" s="171">
        <f>Q130-R130</f>
        <v>0</v>
      </c>
      <c r="T130" s="1476">
        <v>0</v>
      </c>
      <c r="Y130" s="918"/>
    </row>
    <row r="131" spans="1:25" s="916" customFormat="1" ht="15" hidden="1" customHeight="1">
      <c r="A131" s="134"/>
      <c r="B131" s="89"/>
      <c r="C131" s="90"/>
      <c r="D131" s="89"/>
      <c r="E131" s="90"/>
      <c r="F131" s="1477" t="s">
        <v>701</v>
      </c>
      <c r="G131" s="97"/>
      <c r="H131" s="90"/>
      <c r="I131" s="90"/>
      <c r="J131" s="90"/>
      <c r="K131" s="90"/>
      <c r="L131" s="98"/>
      <c r="M131" s="90"/>
      <c r="N131" s="99"/>
      <c r="O131" s="90"/>
      <c r="P131" s="1488">
        <f>P132</f>
        <v>0</v>
      </c>
      <c r="Q131" s="79"/>
      <c r="R131" s="101"/>
      <c r="S131" s="101"/>
      <c r="T131" s="1489"/>
      <c r="Y131" s="1490"/>
    </row>
    <row r="132" spans="1:25" s="1468" customFormat="1" ht="15" hidden="1" customHeight="1">
      <c r="A132" s="1461"/>
      <c r="B132" s="1469"/>
      <c r="C132" s="1470"/>
      <c r="D132" s="1491"/>
      <c r="E132" s="958"/>
      <c r="F132" s="958" t="s">
        <v>702</v>
      </c>
      <c r="G132" s="1492"/>
      <c r="H132" s="967"/>
      <c r="I132" s="1493"/>
      <c r="J132" s="967"/>
      <c r="K132" s="1494"/>
      <c r="L132" s="1495"/>
      <c r="M132" s="1494"/>
      <c r="N132" s="1480"/>
      <c r="O132" s="1480"/>
      <c r="P132" s="1484"/>
      <c r="Q132" s="1496"/>
      <c r="R132" s="1486"/>
      <c r="S132" s="1486"/>
      <c r="T132" s="1487"/>
      <c r="Y132" s="918"/>
    </row>
    <row r="133" spans="1:25" ht="15" customHeight="1">
      <c r="A133" s="88"/>
      <c r="B133" s="81"/>
      <c r="C133" s="82"/>
      <c r="D133" s="394" t="s">
        <v>703</v>
      </c>
      <c r="E133" s="1446"/>
      <c r="F133" s="1447"/>
      <c r="G133" s="1448"/>
      <c r="H133" s="1446"/>
      <c r="I133" s="1446"/>
      <c r="J133" s="1446"/>
      <c r="K133" s="1446"/>
      <c r="L133" s="1449"/>
      <c r="M133" s="1446"/>
      <c r="N133" s="1450"/>
      <c r="O133" s="1450"/>
      <c r="P133" s="1446"/>
      <c r="Q133" s="76">
        <f>SUM(Q134,Q152,Q168)</f>
        <v>65000000</v>
      </c>
      <c r="R133" s="76">
        <v>65000000</v>
      </c>
      <c r="S133" s="76">
        <f>Q133-R133</f>
        <v>0</v>
      </c>
      <c r="T133" s="77">
        <f t="shared" ref="T133" si="6">S133/R133</f>
        <v>0</v>
      </c>
      <c r="Y133" s="918"/>
    </row>
    <row r="134" spans="1:25" ht="15" customHeight="1">
      <c r="A134" s="88"/>
      <c r="B134" s="89"/>
      <c r="C134" s="90"/>
      <c r="D134" s="170"/>
      <c r="E134" s="510" t="s">
        <v>704</v>
      </c>
      <c r="F134" s="515"/>
      <c r="G134" s="511"/>
      <c r="H134" s="510"/>
      <c r="I134" s="510"/>
      <c r="J134" s="510"/>
      <c r="K134" s="510"/>
      <c r="L134" s="512"/>
      <c r="M134" s="510"/>
      <c r="N134" s="513"/>
      <c r="O134" s="513"/>
      <c r="P134" s="510"/>
      <c r="Q134" s="171">
        <f>P135+P136+P139+P144+P148</f>
        <v>27400000</v>
      </c>
      <c r="R134" s="171"/>
      <c r="S134" s="171"/>
      <c r="T134" s="172"/>
    </row>
    <row r="135" spans="1:25" s="915" customFormat="1" ht="15" customHeight="1">
      <c r="A135" s="78"/>
      <c r="B135" s="81"/>
      <c r="C135" s="82"/>
      <c r="D135" s="81"/>
      <c r="E135" s="90"/>
      <c r="F135" s="96" t="s">
        <v>705</v>
      </c>
      <c r="G135" s="123">
        <v>200000</v>
      </c>
      <c r="H135" s="106" t="s">
        <v>273</v>
      </c>
      <c r="I135" s="1497">
        <v>12</v>
      </c>
      <c r="J135" s="106"/>
      <c r="K135" s="106"/>
      <c r="L135" s="124"/>
      <c r="M135" s="106"/>
      <c r="N135" s="110"/>
      <c r="O135" s="110" t="s">
        <v>274</v>
      </c>
      <c r="P135" s="1498">
        <f>G135*I135</f>
        <v>2400000</v>
      </c>
      <c r="Q135" s="1499"/>
      <c r="R135" s="1500"/>
      <c r="S135" s="1499"/>
      <c r="T135" s="1501"/>
      <c r="Y135" s="1502"/>
    </row>
    <row r="136" spans="1:25" s="915" customFormat="1" ht="15" customHeight="1">
      <c r="A136" s="78"/>
      <c r="B136" s="81"/>
      <c r="C136" s="82"/>
      <c r="D136" s="81"/>
      <c r="E136" s="90"/>
      <c r="F136" s="96" t="s">
        <v>428</v>
      </c>
      <c r="G136" s="123"/>
      <c r="H136" s="106"/>
      <c r="I136" s="106"/>
      <c r="J136" s="106"/>
      <c r="K136" s="106"/>
      <c r="L136" s="124"/>
      <c r="M136" s="106"/>
      <c r="N136" s="110"/>
      <c r="O136" s="110"/>
      <c r="P136" s="938">
        <f>P137+P138</f>
        <v>8000000</v>
      </c>
      <c r="Q136" s="1499"/>
      <c r="R136" s="1500"/>
      <c r="S136" s="1499"/>
      <c r="T136" s="1501"/>
    </row>
    <row r="137" spans="1:25" ht="15" customHeight="1">
      <c r="A137" s="88"/>
      <c r="B137" s="89"/>
      <c r="C137" s="90"/>
      <c r="D137" s="89"/>
      <c r="E137" s="90"/>
      <c r="F137" s="96" t="s">
        <v>706</v>
      </c>
      <c r="G137" s="123">
        <v>1000000</v>
      </c>
      <c r="H137" s="106" t="s">
        <v>636</v>
      </c>
      <c r="I137" s="1503">
        <v>5</v>
      </c>
      <c r="J137" s="106"/>
      <c r="K137" s="106"/>
      <c r="L137" s="124"/>
      <c r="M137" s="106"/>
      <c r="N137" s="110"/>
      <c r="O137" s="110" t="s">
        <v>638</v>
      </c>
      <c r="P137" s="123">
        <f>G137*I137</f>
        <v>5000000</v>
      </c>
      <c r="Q137" s="112"/>
      <c r="R137" s="131"/>
      <c r="S137" s="112"/>
      <c r="T137" s="113"/>
    </row>
    <row r="138" spans="1:25" ht="15" customHeight="1">
      <c r="A138" s="88"/>
      <c r="B138" s="89"/>
      <c r="C138" s="90"/>
      <c r="D138" s="89"/>
      <c r="E138" s="90"/>
      <c r="F138" s="96" t="s">
        <v>2536</v>
      </c>
      <c r="G138" s="123">
        <v>1000000</v>
      </c>
      <c r="H138" s="106" t="s">
        <v>636</v>
      </c>
      <c r="I138" s="1497">
        <v>3</v>
      </c>
      <c r="J138" s="106"/>
      <c r="K138" s="106"/>
      <c r="L138" s="124"/>
      <c r="M138" s="106"/>
      <c r="N138" s="110"/>
      <c r="O138" s="110" t="s">
        <v>638</v>
      </c>
      <c r="P138" s="123">
        <f>G138*I138</f>
        <v>3000000</v>
      </c>
      <c r="Q138" s="112"/>
      <c r="R138" s="131"/>
      <c r="S138" s="112"/>
      <c r="T138" s="113"/>
    </row>
    <row r="139" spans="1:25" s="915" customFormat="1" ht="15" customHeight="1">
      <c r="A139" s="78"/>
      <c r="B139" s="81"/>
      <c r="C139" s="82"/>
      <c r="D139" s="81"/>
      <c r="E139" s="122"/>
      <c r="F139" s="96" t="s">
        <v>707</v>
      </c>
      <c r="G139" s="121"/>
      <c r="H139" s="106"/>
      <c r="I139" s="142"/>
      <c r="J139" s="106"/>
      <c r="K139" s="108"/>
      <c r="L139" s="109"/>
      <c r="M139" s="108"/>
      <c r="N139" s="110"/>
      <c r="O139" s="110"/>
      <c r="P139" s="938">
        <f>P140+P141+P142+P143</f>
        <v>6500000</v>
      </c>
      <c r="Q139" s="1499"/>
      <c r="R139" s="1500"/>
      <c r="S139" s="1499"/>
      <c r="T139" s="1501"/>
    </row>
    <row r="140" spans="1:25" ht="15" customHeight="1">
      <c r="A140" s="88"/>
      <c r="B140" s="89"/>
      <c r="C140" s="90"/>
      <c r="D140" s="89"/>
      <c r="E140" s="122"/>
      <c r="F140" s="96" t="s">
        <v>2531</v>
      </c>
      <c r="G140" s="123">
        <v>500000</v>
      </c>
      <c r="H140" s="106" t="s">
        <v>636</v>
      </c>
      <c r="I140" s="1497">
        <v>1</v>
      </c>
      <c r="J140" s="106"/>
      <c r="K140" s="106"/>
      <c r="L140" s="124"/>
      <c r="M140" s="106"/>
      <c r="N140" s="110"/>
      <c r="O140" s="110" t="s">
        <v>281</v>
      </c>
      <c r="P140" s="123">
        <f>G140*I140</f>
        <v>500000</v>
      </c>
      <c r="Q140" s="112"/>
      <c r="R140" s="131"/>
      <c r="S140" s="112"/>
      <c r="T140" s="113"/>
    </row>
    <row r="141" spans="1:25" ht="15" customHeight="1">
      <c r="A141" s="88"/>
      <c r="B141" s="89"/>
      <c r="C141" s="90"/>
      <c r="D141" s="89"/>
      <c r="E141" s="122"/>
      <c r="F141" s="96" t="s">
        <v>2532</v>
      </c>
      <c r="G141" s="123">
        <v>500000</v>
      </c>
      <c r="H141" s="106" t="s">
        <v>282</v>
      </c>
      <c r="I141" s="1497">
        <v>6</v>
      </c>
      <c r="J141" s="106"/>
      <c r="K141" s="106"/>
      <c r="L141" s="124"/>
      <c r="M141" s="106"/>
      <c r="N141" s="110"/>
      <c r="O141" s="110" t="s">
        <v>638</v>
      </c>
      <c r="P141" s="123">
        <f>G141*I141</f>
        <v>3000000</v>
      </c>
      <c r="Q141" s="112"/>
      <c r="R141" s="131"/>
      <c r="S141" s="112"/>
      <c r="T141" s="113"/>
    </row>
    <row r="142" spans="1:25" ht="15" customHeight="1">
      <c r="A142" s="88"/>
      <c r="B142" s="89"/>
      <c r="C142" s="90"/>
      <c r="D142" s="89"/>
      <c r="E142" s="122"/>
      <c r="F142" s="96" t="s">
        <v>2533</v>
      </c>
      <c r="G142" s="123">
        <v>200000</v>
      </c>
      <c r="H142" s="106" t="s">
        <v>636</v>
      </c>
      <c r="I142" s="1497">
        <v>5</v>
      </c>
      <c r="J142" s="106"/>
      <c r="K142" s="106"/>
      <c r="L142" s="124"/>
      <c r="M142" s="106"/>
      <c r="N142" s="110"/>
      <c r="O142" s="110" t="s">
        <v>638</v>
      </c>
      <c r="P142" s="123">
        <f>G142*I142</f>
        <v>1000000</v>
      </c>
      <c r="Q142" s="112"/>
      <c r="R142" s="131"/>
      <c r="S142" s="112"/>
      <c r="T142" s="113"/>
    </row>
    <row r="143" spans="1:25" ht="15" customHeight="1">
      <c r="A143" s="88"/>
      <c r="B143" s="89"/>
      <c r="C143" s="90"/>
      <c r="D143" s="89"/>
      <c r="E143" s="122"/>
      <c r="F143" s="96" t="s">
        <v>2534</v>
      </c>
      <c r="G143" s="123">
        <v>500000</v>
      </c>
      <c r="H143" s="106" t="s">
        <v>636</v>
      </c>
      <c r="I143" s="1497">
        <v>4</v>
      </c>
      <c r="J143" s="106"/>
      <c r="K143" s="106"/>
      <c r="L143" s="124"/>
      <c r="M143" s="106"/>
      <c r="N143" s="110"/>
      <c r="O143" s="110" t="s">
        <v>638</v>
      </c>
      <c r="P143" s="123">
        <f>G143*I143</f>
        <v>2000000</v>
      </c>
      <c r="Q143" s="112"/>
      <c r="R143" s="131"/>
      <c r="S143" s="112"/>
      <c r="T143" s="113"/>
    </row>
    <row r="144" spans="1:25" s="915" customFormat="1" ht="15" customHeight="1">
      <c r="A144" s="78"/>
      <c r="B144" s="81"/>
      <c r="C144" s="82"/>
      <c r="D144" s="81"/>
      <c r="E144" s="103"/>
      <c r="F144" s="96" t="s">
        <v>708</v>
      </c>
      <c r="G144" s="123"/>
      <c r="H144" s="106"/>
      <c r="I144" s="142"/>
      <c r="J144" s="106"/>
      <c r="K144" s="108"/>
      <c r="L144" s="109"/>
      <c r="M144" s="108"/>
      <c r="N144" s="110"/>
      <c r="O144" s="110"/>
      <c r="P144" s="938">
        <f>P145+P146+P147</f>
        <v>6500000</v>
      </c>
      <c r="Q144" s="1499"/>
      <c r="R144" s="1500"/>
      <c r="S144" s="1499"/>
      <c r="T144" s="1501"/>
    </row>
    <row r="145" spans="1:20" ht="15" customHeight="1">
      <c r="A145" s="88"/>
      <c r="B145" s="89"/>
      <c r="C145" s="90"/>
      <c r="D145" s="89"/>
      <c r="E145" s="103"/>
      <c r="F145" s="96" t="s">
        <v>709</v>
      </c>
      <c r="G145" s="123">
        <v>500000</v>
      </c>
      <c r="H145" s="106" t="s">
        <v>636</v>
      </c>
      <c r="I145" s="1497">
        <v>1</v>
      </c>
      <c r="J145" s="106"/>
      <c r="K145" s="106"/>
      <c r="L145" s="124"/>
      <c r="M145" s="106"/>
      <c r="N145" s="110"/>
      <c r="O145" s="110" t="s">
        <v>638</v>
      </c>
      <c r="P145" s="123">
        <f>G145*I145</f>
        <v>500000</v>
      </c>
      <c r="Q145" s="112"/>
      <c r="R145" s="131"/>
      <c r="S145" s="112"/>
      <c r="T145" s="113"/>
    </row>
    <row r="146" spans="1:20" ht="15" customHeight="1">
      <c r="A146" s="88"/>
      <c r="B146" s="89"/>
      <c r="C146" s="90"/>
      <c r="D146" s="89"/>
      <c r="E146" s="103"/>
      <c r="F146" s="96" t="s">
        <v>2535</v>
      </c>
      <c r="G146" s="123">
        <v>2500000</v>
      </c>
      <c r="H146" s="106" t="s">
        <v>636</v>
      </c>
      <c r="I146" s="1497">
        <v>2</v>
      </c>
      <c r="J146" s="106"/>
      <c r="K146" s="106"/>
      <c r="L146" s="124"/>
      <c r="M146" s="106"/>
      <c r="N146" s="110"/>
      <c r="O146" s="110" t="s">
        <v>638</v>
      </c>
      <c r="P146" s="123">
        <f>G146*I146</f>
        <v>5000000</v>
      </c>
      <c r="Q146" s="112"/>
      <c r="R146" s="131"/>
      <c r="S146" s="112"/>
      <c r="T146" s="113"/>
    </row>
    <row r="147" spans="1:20" ht="15" customHeight="1">
      <c r="A147" s="88"/>
      <c r="B147" s="89"/>
      <c r="C147" s="90"/>
      <c r="D147" s="89"/>
      <c r="E147" s="103"/>
      <c r="F147" s="96" t="s">
        <v>710</v>
      </c>
      <c r="G147" s="123">
        <v>500000</v>
      </c>
      <c r="H147" s="106" t="s">
        <v>636</v>
      </c>
      <c r="I147" s="1497">
        <v>2</v>
      </c>
      <c r="J147" s="106"/>
      <c r="K147" s="106"/>
      <c r="L147" s="124"/>
      <c r="M147" s="106"/>
      <c r="N147" s="110"/>
      <c r="O147" s="110" t="s">
        <v>638</v>
      </c>
      <c r="P147" s="123">
        <f>G147*I147</f>
        <v>1000000</v>
      </c>
      <c r="Q147" s="112"/>
      <c r="R147" s="131"/>
      <c r="S147" s="112"/>
      <c r="T147" s="113"/>
    </row>
    <row r="148" spans="1:20" s="915" customFormat="1" ht="15" customHeight="1">
      <c r="A148" s="78"/>
      <c r="B148" s="81"/>
      <c r="C148" s="82"/>
      <c r="D148" s="81"/>
      <c r="E148" s="103"/>
      <c r="F148" s="96" t="s">
        <v>711</v>
      </c>
      <c r="G148" s="123"/>
      <c r="H148" s="106"/>
      <c r="I148" s="142"/>
      <c r="J148" s="106"/>
      <c r="K148" s="108"/>
      <c r="L148" s="109"/>
      <c r="M148" s="108"/>
      <c r="N148" s="110"/>
      <c r="O148" s="110"/>
      <c r="P148" s="938">
        <f>P149+P150+P151</f>
        <v>4000000</v>
      </c>
      <c r="Q148" s="1499"/>
      <c r="R148" s="1500"/>
      <c r="S148" s="1499"/>
      <c r="T148" s="1501"/>
    </row>
    <row r="149" spans="1:20" ht="15" customHeight="1">
      <c r="A149" s="88"/>
      <c r="B149" s="89"/>
      <c r="C149" s="90"/>
      <c r="D149" s="89"/>
      <c r="E149" s="103"/>
      <c r="F149" s="96" t="s">
        <v>429</v>
      </c>
      <c r="G149" s="123">
        <v>400000</v>
      </c>
      <c r="H149" s="106" t="s">
        <v>636</v>
      </c>
      <c r="I149" s="1497">
        <v>5</v>
      </c>
      <c r="J149" s="106"/>
      <c r="K149" s="106"/>
      <c r="L149" s="124"/>
      <c r="M149" s="106"/>
      <c r="N149" s="110"/>
      <c r="O149" s="110" t="s">
        <v>638</v>
      </c>
      <c r="P149" s="123">
        <f>G149*I149</f>
        <v>2000000</v>
      </c>
      <c r="Q149" s="112"/>
      <c r="R149" s="131"/>
      <c r="S149" s="112"/>
      <c r="T149" s="113"/>
    </row>
    <row r="150" spans="1:20" ht="15" customHeight="1">
      <c r="A150" s="88"/>
      <c r="B150" s="89"/>
      <c r="C150" s="90"/>
      <c r="D150" s="89"/>
      <c r="E150" s="103"/>
      <c r="F150" s="96" t="s">
        <v>2529</v>
      </c>
      <c r="G150" s="123">
        <v>500000</v>
      </c>
      <c r="H150" s="106" t="s">
        <v>277</v>
      </c>
      <c r="I150" s="1497">
        <v>2</v>
      </c>
      <c r="J150" s="106"/>
      <c r="K150" s="106"/>
      <c r="L150" s="124"/>
      <c r="M150" s="106"/>
      <c r="N150" s="110"/>
      <c r="O150" s="110" t="s">
        <v>638</v>
      </c>
      <c r="P150" s="123">
        <f>G150*I150</f>
        <v>1000000</v>
      </c>
      <c r="Q150" s="112"/>
      <c r="R150" s="131"/>
      <c r="S150" s="112"/>
      <c r="T150" s="113"/>
    </row>
    <row r="151" spans="1:20" ht="15" customHeight="1">
      <c r="A151" s="561"/>
      <c r="B151" s="562"/>
      <c r="C151" s="563"/>
      <c r="D151" s="562"/>
      <c r="E151" s="1441"/>
      <c r="F151" s="1504" t="s">
        <v>2530</v>
      </c>
      <c r="G151" s="943">
        <v>500000</v>
      </c>
      <c r="H151" s="162" t="s">
        <v>636</v>
      </c>
      <c r="I151" s="1497">
        <v>2</v>
      </c>
      <c r="J151" s="162"/>
      <c r="K151" s="162"/>
      <c r="L151" s="1505"/>
      <c r="M151" s="162"/>
      <c r="N151" s="165"/>
      <c r="O151" s="165" t="s">
        <v>638</v>
      </c>
      <c r="P151" s="943">
        <f>G151*I151</f>
        <v>1000000</v>
      </c>
      <c r="Q151" s="167"/>
      <c r="R151" s="168"/>
      <c r="S151" s="167"/>
      <c r="T151" s="169"/>
    </row>
    <row r="152" spans="1:20" ht="15" customHeight="1">
      <c r="A152" s="1443"/>
      <c r="B152" s="170"/>
      <c r="C152" s="144"/>
      <c r="D152" s="170"/>
      <c r="E152" s="510" t="s">
        <v>1636</v>
      </c>
      <c r="F152" s="515"/>
      <c r="G152" s="511"/>
      <c r="H152" s="510"/>
      <c r="I152" s="510"/>
      <c r="J152" s="510"/>
      <c r="K152" s="510"/>
      <c r="L152" s="512"/>
      <c r="M152" s="510"/>
      <c r="N152" s="513"/>
      <c r="O152" s="513"/>
      <c r="P152" s="510"/>
      <c r="Q152" s="171">
        <f>P153+P157+P159+P163</f>
        <v>23350000</v>
      </c>
      <c r="R152" s="171"/>
      <c r="S152" s="171"/>
      <c r="T152" s="172"/>
    </row>
    <row r="153" spans="1:20" s="915" customFormat="1" ht="15" customHeight="1">
      <c r="A153" s="78"/>
      <c r="B153" s="81"/>
      <c r="C153" s="82"/>
      <c r="D153" s="81"/>
      <c r="E153" s="90"/>
      <c r="F153" s="96" t="s">
        <v>712</v>
      </c>
      <c r="G153" s="123"/>
      <c r="H153" s="106"/>
      <c r="I153" s="106"/>
      <c r="J153" s="106"/>
      <c r="K153" s="106"/>
      <c r="L153" s="124"/>
      <c r="M153" s="106"/>
      <c r="N153" s="110"/>
      <c r="O153" s="110"/>
      <c r="P153" s="938">
        <f>P154+P155+P156</f>
        <v>4000000</v>
      </c>
      <c r="Q153" s="1499"/>
      <c r="R153" s="1500"/>
      <c r="S153" s="1499"/>
      <c r="T153" s="1501"/>
    </row>
    <row r="154" spans="1:20" ht="15" customHeight="1">
      <c r="A154" s="88"/>
      <c r="B154" s="89"/>
      <c r="C154" s="90"/>
      <c r="D154" s="89"/>
      <c r="E154" s="90"/>
      <c r="F154" s="96" t="s">
        <v>713</v>
      </c>
      <c r="G154" s="123">
        <v>1000000</v>
      </c>
      <c r="H154" s="106" t="s">
        <v>636</v>
      </c>
      <c r="I154" s="1497">
        <v>2</v>
      </c>
      <c r="J154" s="106"/>
      <c r="K154" s="106"/>
      <c r="L154" s="124"/>
      <c r="M154" s="106"/>
      <c r="N154" s="110"/>
      <c r="O154" s="110" t="s">
        <v>638</v>
      </c>
      <c r="P154" s="123">
        <f>G154*I154</f>
        <v>2000000</v>
      </c>
      <c r="Q154" s="112"/>
      <c r="R154" s="131"/>
      <c r="S154" s="112"/>
      <c r="T154" s="113"/>
    </row>
    <row r="155" spans="1:20" ht="15" customHeight="1">
      <c r="A155" s="88"/>
      <c r="B155" s="89"/>
      <c r="C155" s="90"/>
      <c r="D155" s="89"/>
      <c r="E155" s="90"/>
      <c r="F155" s="96" t="s">
        <v>2537</v>
      </c>
      <c r="G155" s="123">
        <v>1000000</v>
      </c>
      <c r="H155" s="106" t="s">
        <v>636</v>
      </c>
      <c r="I155" s="1497">
        <v>1</v>
      </c>
      <c r="J155" s="106"/>
      <c r="K155" s="106"/>
      <c r="L155" s="124"/>
      <c r="M155" s="106"/>
      <c r="N155" s="110"/>
      <c r="O155" s="110" t="s">
        <v>638</v>
      </c>
      <c r="P155" s="123">
        <f>G155*I155</f>
        <v>1000000</v>
      </c>
      <c r="Q155" s="112"/>
      <c r="R155" s="131"/>
      <c r="S155" s="112"/>
      <c r="T155" s="113"/>
    </row>
    <row r="156" spans="1:20" ht="15" customHeight="1">
      <c r="A156" s="88"/>
      <c r="B156" s="89"/>
      <c r="C156" s="90"/>
      <c r="D156" s="89"/>
      <c r="E156" s="90"/>
      <c r="F156" s="96" t="s">
        <v>714</v>
      </c>
      <c r="G156" s="123">
        <v>1000000</v>
      </c>
      <c r="H156" s="106" t="s">
        <v>636</v>
      </c>
      <c r="I156" s="1497">
        <v>1</v>
      </c>
      <c r="J156" s="106"/>
      <c r="K156" s="106"/>
      <c r="L156" s="124"/>
      <c r="M156" s="106"/>
      <c r="N156" s="110"/>
      <c r="O156" s="110" t="s">
        <v>638</v>
      </c>
      <c r="P156" s="123">
        <f>G156*I156</f>
        <v>1000000</v>
      </c>
      <c r="Q156" s="112"/>
      <c r="R156" s="131"/>
      <c r="S156" s="112"/>
      <c r="T156" s="113"/>
    </row>
    <row r="157" spans="1:20" s="915" customFormat="1" ht="15" customHeight="1">
      <c r="A157" s="78"/>
      <c r="B157" s="81"/>
      <c r="C157" s="82"/>
      <c r="D157" s="81"/>
      <c r="E157" s="122"/>
      <c r="F157" s="96" t="s">
        <v>715</v>
      </c>
      <c r="G157" s="121"/>
      <c r="H157" s="106"/>
      <c r="I157" s="107"/>
      <c r="J157" s="106"/>
      <c r="K157" s="108"/>
      <c r="L157" s="109"/>
      <c r="M157" s="108"/>
      <c r="N157" s="110"/>
      <c r="O157" s="110"/>
      <c r="P157" s="938">
        <f>P158</f>
        <v>3000000</v>
      </c>
      <c r="Q157" s="1499"/>
      <c r="R157" s="1500"/>
      <c r="S157" s="1499"/>
      <c r="T157" s="1501"/>
    </row>
    <row r="158" spans="1:20" ht="15" customHeight="1">
      <c r="A158" s="88"/>
      <c r="B158" s="89"/>
      <c r="C158" s="90"/>
      <c r="D158" s="89"/>
      <c r="E158" s="122"/>
      <c r="F158" s="96" t="s">
        <v>716</v>
      </c>
      <c r="G158" s="123">
        <v>1000000</v>
      </c>
      <c r="H158" s="106" t="s">
        <v>636</v>
      </c>
      <c r="I158" s="1497">
        <v>3</v>
      </c>
      <c r="J158" s="106"/>
      <c r="K158" s="106"/>
      <c r="L158" s="124"/>
      <c r="M158" s="106"/>
      <c r="N158" s="110"/>
      <c r="O158" s="110" t="s">
        <v>283</v>
      </c>
      <c r="P158" s="123">
        <f>G158*I158</f>
        <v>3000000</v>
      </c>
      <c r="Q158" s="112"/>
      <c r="R158" s="131"/>
      <c r="S158" s="112"/>
      <c r="T158" s="113"/>
    </row>
    <row r="159" spans="1:20" s="915" customFormat="1" ht="15" customHeight="1">
      <c r="A159" s="78"/>
      <c r="B159" s="81"/>
      <c r="C159" s="82"/>
      <c r="D159" s="81"/>
      <c r="E159" s="103"/>
      <c r="F159" s="96" t="s">
        <v>466</v>
      </c>
      <c r="G159" s="123"/>
      <c r="H159" s="106"/>
      <c r="I159" s="107"/>
      <c r="J159" s="106"/>
      <c r="K159" s="108"/>
      <c r="L159" s="109"/>
      <c r="M159" s="108"/>
      <c r="N159" s="110"/>
      <c r="O159" s="110"/>
      <c r="P159" s="938">
        <f>P160+P161+P162</f>
        <v>5500000</v>
      </c>
      <c r="Q159" s="1499"/>
      <c r="R159" s="1500"/>
      <c r="S159" s="1499"/>
      <c r="T159" s="1501"/>
    </row>
    <row r="160" spans="1:20" ht="15" customHeight="1">
      <c r="A160" s="88"/>
      <c r="B160" s="89"/>
      <c r="C160" s="90"/>
      <c r="D160" s="89"/>
      <c r="E160" s="103"/>
      <c r="F160" s="96" t="s">
        <v>717</v>
      </c>
      <c r="G160" s="123">
        <v>200000</v>
      </c>
      <c r="H160" s="106" t="s">
        <v>636</v>
      </c>
      <c r="I160" s="1497">
        <v>5</v>
      </c>
      <c r="J160" s="106"/>
      <c r="K160" s="106"/>
      <c r="L160" s="124"/>
      <c r="M160" s="106"/>
      <c r="N160" s="110"/>
      <c r="O160" s="110" t="s">
        <v>283</v>
      </c>
      <c r="P160" s="123">
        <f>G160*I160</f>
        <v>1000000</v>
      </c>
      <c r="Q160" s="112"/>
      <c r="R160" s="131"/>
      <c r="S160" s="112"/>
      <c r="T160" s="113"/>
    </row>
    <row r="161" spans="1:25" ht="15" customHeight="1">
      <c r="A161" s="88"/>
      <c r="B161" s="89"/>
      <c r="C161" s="90"/>
      <c r="D161" s="89"/>
      <c r="E161" s="103"/>
      <c r="F161" s="96" t="s">
        <v>2538</v>
      </c>
      <c r="G161" s="123">
        <v>200000</v>
      </c>
      <c r="H161" s="106" t="s">
        <v>277</v>
      </c>
      <c r="I161" s="1497">
        <v>5</v>
      </c>
      <c r="J161" s="106"/>
      <c r="K161" s="106"/>
      <c r="L161" s="124"/>
      <c r="M161" s="106"/>
      <c r="N161" s="110"/>
      <c r="O161" s="110" t="s">
        <v>283</v>
      </c>
      <c r="P161" s="123">
        <f>G161*I161</f>
        <v>1000000</v>
      </c>
      <c r="Q161" s="112"/>
      <c r="R161" s="131"/>
      <c r="S161" s="112"/>
      <c r="T161" s="113"/>
      <c r="W161" s="917">
        <v>3500000</v>
      </c>
      <c r="Y161" s="917">
        <f>W161/7</f>
        <v>500000</v>
      </c>
    </row>
    <row r="162" spans="1:25" ht="15" customHeight="1">
      <c r="A162" s="88"/>
      <c r="B162" s="89"/>
      <c r="C162" s="90"/>
      <c r="D162" s="89"/>
      <c r="E162" s="103"/>
      <c r="F162" s="96" t="s">
        <v>2539</v>
      </c>
      <c r="G162" s="123">
        <v>500000</v>
      </c>
      <c r="H162" s="106" t="s">
        <v>277</v>
      </c>
      <c r="I162" s="1497">
        <v>7</v>
      </c>
      <c r="J162" s="106"/>
      <c r="K162" s="106"/>
      <c r="L162" s="124"/>
      <c r="M162" s="106"/>
      <c r="N162" s="110"/>
      <c r="O162" s="110" t="s">
        <v>638</v>
      </c>
      <c r="P162" s="123">
        <f>G162*I162</f>
        <v>3500000</v>
      </c>
      <c r="Q162" s="112"/>
      <c r="R162" s="131"/>
      <c r="S162" s="112"/>
      <c r="T162" s="113"/>
    </row>
    <row r="163" spans="1:25" s="915" customFormat="1" ht="15" customHeight="1">
      <c r="A163" s="78"/>
      <c r="B163" s="81"/>
      <c r="C163" s="82"/>
      <c r="D163" s="81"/>
      <c r="E163" s="103"/>
      <c r="F163" s="96" t="s">
        <v>718</v>
      </c>
      <c r="G163" s="123"/>
      <c r="H163" s="106"/>
      <c r="I163" s="107"/>
      <c r="J163" s="106"/>
      <c r="K163" s="108"/>
      <c r="L163" s="109"/>
      <c r="M163" s="108"/>
      <c r="N163" s="110"/>
      <c r="O163" s="110"/>
      <c r="P163" s="938">
        <f>P164+P165+P166+P167</f>
        <v>10850000</v>
      </c>
      <c r="Q163" s="1499"/>
      <c r="R163" s="1500"/>
      <c r="S163" s="1499"/>
      <c r="T163" s="1501"/>
    </row>
    <row r="164" spans="1:25" ht="15" customHeight="1">
      <c r="A164" s="88"/>
      <c r="B164" s="89"/>
      <c r="C164" s="90"/>
      <c r="D164" s="89"/>
      <c r="E164" s="103"/>
      <c r="F164" s="96" t="s">
        <v>719</v>
      </c>
      <c r="G164" s="123">
        <v>3000000</v>
      </c>
      <c r="H164" s="106" t="s">
        <v>636</v>
      </c>
      <c r="I164" s="1497">
        <v>1</v>
      </c>
      <c r="J164" s="106"/>
      <c r="K164" s="106"/>
      <c r="L164" s="124"/>
      <c r="M164" s="106"/>
      <c r="N164" s="110"/>
      <c r="O164" s="110" t="s">
        <v>283</v>
      </c>
      <c r="P164" s="123">
        <f>G164*I164</f>
        <v>3000000</v>
      </c>
      <c r="Q164" s="112"/>
      <c r="R164" s="131"/>
      <c r="S164" s="112"/>
      <c r="T164" s="113"/>
    </row>
    <row r="165" spans="1:25" ht="15" customHeight="1">
      <c r="A165" s="88"/>
      <c r="B165" s="89"/>
      <c r="C165" s="90"/>
      <c r="D165" s="89"/>
      <c r="E165" s="103"/>
      <c r="F165" s="96" t="s">
        <v>2540</v>
      </c>
      <c r="G165" s="123">
        <v>850000</v>
      </c>
      <c r="H165" s="106" t="s">
        <v>636</v>
      </c>
      <c r="I165" s="1497">
        <v>1</v>
      </c>
      <c r="J165" s="106"/>
      <c r="K165" s="106"/>
      <c r="L165" s="124"/>
      <c r="M165" s="106"/>
      <c r="N165" s="110"/>
      <c r="O165" s="110" t="s">
        <v>283</v>
      </c>
      <c r="P165" s="123">
        <f>G165*I165</f>
        <v>850000</v>
      </c>
      <c r="Q165" s="112"/>
      <c r="R165" s="131"/>
      <c r="S165" s="112"/>
      <c r="T165" s="113"/>
    </row>
    <row r="166" spans="1:25" ht="15" customHeight="1">
      <c r="A166" s="88"/>
      <c r="B166" s="89"/>
      <c r="C166" s="90"/>
      <c r="D166" s="89"/>
      <c r="E166" s="103"/>
      <c r="F166" s="96" t="s">
        <v>2541</v>
      </c>
      <c r="G166" s="123">
        <v>3000000</v>
      </c>
      <c r="H166" s="106" t="s">
        <v>636</v>
      </c>
      <c r="I166" s="1497">
        <v>1</v>
      </c>
      <c r="J166" s="106"/>
      <c r="K166" s="106"/>
      <c r="L166" s="124"/>
      <c r="M166" s="106"/>
      <c r="N166" s="110"/>
      <c r="O166" s="110" t="s">
        <v>638</v>
      </c>
      <c r="P166" s="123">
        <f>G166*I166</f>
        <v>3000000</v>
      </c>
      <c r="Q166" s="112"/>
      <c r="R166" s="131"/>
      <c r="S166" s="112"/>
      <c r="T166" s="113"/>
    </row>
    <row r="167" spans="1:25" ht="15" customHeight="1">
      <c r="A167" s="88"/>
      <c r="B167" s="89"/>
      <c r="C167" s="90"/>
      <c r="D167" s="89"/>
      <c r="E167" s="103"/>
      <c r="F167" s="96" t="s">
        <v>2542</v>
      </c>
      <c r="G167" s="123">
        <v>500000</v>
      </c>
      <c r="H167" s="106" t="s">
        <v>277</v>
      </c>
      <c r="I167" s="1497">
        <v>8</v>
      </c>
      <c r="J167" s="106"/>
      <c r="K167" s="106"/>
      <c r="L167" s="124"/>
      <c r="M167" s="106"/>
      <c r="N167" s="110"/>
      <c r="O167" s="110" t="s">
        <v>638</v>
      </c>
      <c r="P167" s="123">
        <f>G167*I167</f>
        <v>4000000</v>
      </c>
      <c r="Q167" s="112"/>
      <c r="R167" s="131"/>
      <c r="S167" s="112"/>
      <c r="T167" s="113"/>
    </row>
    <row r="168" spans="1:25" ht="15" customHeight="1">
      <c r="A168" s="88"/>
      <c r="B168" s="89"/>
      <c r="C168" s="90"/>
      <c r="D168" s="89"/>
      <c r="E168" s="510" t="s">
        <v>720</v>
      </c>
      <c r="F168" s="515"/>
      <c r="G168" s="511"/>
      <c r="H168" s="510"/>
      <c r="I168" s="510"/>
      <c r="J168" s="510"/>
      <c r="K168" s="510"/>
      <c r="L168" s="512"/>
      <c r="M168" s="510"/>
      <c r="N168" s="513"/>
      <c r="O168" s="513"/>
      <c r="P168" s="510"/>
      <c r="Q168" s="171">
        <f>P169+P171</f>
        <v>14250000</v>
      </c>
      <c r="R168" s="171"/>
      <c r="S168" s="171"/>
      <c r="T168" s="172"/>
    </row>
    <row r="169" spans="1:25" ht="15" customHeight="1">
      <c r="A169" s="88"/>
      <c r="B169" s="89"/>
      <c r="C169" s="90"/>
      <c r="D169" s="89"/>
      <c r="E169" s="103"/>
      <c r="F169" s="96" t="s">
        <v>721</v>
      </c>
      <c r="G169" s="123"/>
      <c r="H169" s="106"/>
      <c r="I169" s="106"/>
      <c r="J169" s="106"/>
      <c r="K169" s="108"/>
      <c r="L169" s="109"/>
      <c r="M169" s="108"/>
      <c r="N169" s="110"/>
      <c r="O169" s="110"/>
      <c r="P169" s="938">
        <f>P170</f>
        <v>3000000</v>
      </c>
      <c r="Q169" s="112"/>
      <c r="R169" s="131"/>
      <c r="S169" s="112"/>
      <c r="T169" s="113"/>
    </row>
    <row r="170" spans="1:25" ht="15" customHeight="1">
      <c r="A170" s="88"/>
      <c r="B170" s="89"/>
      <c r="C170" s="90"/>
      <c r="D170" s="89"/>
      <c r="E170" s="103"/>
      <c r="F170" s="96" t="s">
        <v>722</v>
      </c>
      <c r="G170" s="123">
        <v>1000000</v>
      </c>
      <c r="H170" s="106" t="s">
        <v>277</v>
      </c>
      <c r="I170" s="1497">
        <v>3</v>
      </c>
      <c r="J170" s="106"/>
      <c r="K170" s="108"/>
      <c r="L170" s="109"/>
      <c r="M170" s="108"/>
      <c r="N170" s="110"/>
      <c r="O170" s="110" t="s">
        <v>638</v>
      </c>
      <c r="P170" s="111">
        <f>G170*I170</f>
        <v>3000000</v>
      </c>
      <c r="Q170" s="112"/>
      <c r="R170" s="131"/>
      <c r="S170" s="112"/>
      <c r="T170" s="113"/>
    </row>
    <row r="171" spans="1:25" ht="15" customHeight="1">
      <c r="A171" s="88"/>
      <c r="B171" s="89"/>
      <c r="C171" s="90"/>
      <c r="D171" s="89"/>
      <c r="E171" s="103"/>
      <c r="F171" s="96" t="s">
        <v>723</v>
      </c>
      <c r="G171" s="123"/>
      <c r="H171" s="106"/>
      <c r="I171" s="106"/>
      <c r="J171" s="106"/>
      <c r="K171" s="108"/>
      <c r="L171" s="109"/>
      <c r="M171" s="108"/>
      <c r="N171" s="110"/>
      <c r="O171" s="110"/>
      <c r="P171" s="938">
        <f>P172</f>
        <v>11250000</v>
      </c>
      <c r="Q171" s="112"/>
      <c r="R171" s="131"/>
      <c r="S171" s="112"/>
      <c r="T171" s="113"/>
    </row>
    <row r="172" spans="1:25" ht="15" customHeight="1">
      <c r="A172" s="88"/>
      <c r="B172" s="89"/>
      <c r="C172" s="90"/>
      <c r="D172" s="89"/>
      <c r="E172" s="103"/>
      <c r="F172" s="96" t="s">
        <v>724</v>
      </c>
      <c r="G172" s="123">
        <v>450000</v>
      </c>
      <c r="H172" s="106" t="s">
        <v>277</v>
      </c>
      <c r="I172" s="107">
        <v>25</v>
      </c>
      <c r="J172" s="106"/>
      <c r="K172" s="108"/>
      <c r="L172" s="109"/>
      <c r="M172" s="108"/>
      <c r="N172" s="110"/>
      <c r="O172" s="110" t="s">
        <v>638</v>
      </c>
      <c r="P172" s="111">
        <f>G172*I172</f>
        <v>11250000</v>
      </c>
      <c r="Q172" s="112"/>
      <c r="R172" s="131"/>
      <c r="S172" s="112"/>
      <c r="T172" s="113"/>
    </row>
    <row r="173" spans="1:25" ht="15" customHeight="1">
      <c r="A173" s="88"/>
      <c r="B173" s="81"/>
      <c r="C173" s="174" t="s">
        <v>725</v>
      </c>
      <c r="D173" s="173"/>
      <c r="E173" s="418"/>
      <c r="F173" s="1459"/>
      <c r="G173" s="947"/>
      <c r="H173" s="946"/>
      <c r="I173" s="946"/>
      <c r="J173" s="946"/>
      <c r="K173" s="946"/>
      <c r="L173" s="1460"/>
      <c r="M173" s="946"/>
      <c r="N173" s="948"/>
      <c r="O173" s="948"/>
      <c r="P173" s="946"/>
      <c r="Q173" s="935">
        <f>+Q174</f>
        <v>684897000</v>
      </c>
      <c r="R173" s="935">
        <f>SUM(R174)</f>
        <v>682392000</v>
      </c>
      <c r="S173" s="935">
        <f>Q173-R173</f>
        <v>2505000</v>
      </c>
      <c r="T173" s="1506">
        <f t="shared" ref="T173:T174" si="7">S173/R173</f>
        <v>3.6709105616712975E-3</v>
      </c>
    </row>
    <row r="174" spans="1:25" ht="15" customHeight="1">
      <c r="A174" s="88"/>
      <c r="B174" s="81"/>
      <c r="C174" s="82"/>
      <c r="D174" s="394" t="s">
        <v>726</v>
      </c>
      <c r="E174" s="1446"/>
      <c r="F174" s="1447"/>
      <c r="G174" s="1448"/>
      <c r="H174" s="1446"/>
      <c r="I174" s="1446"/>
      <c r="J174" s="1446"/>
      <c r="K174" s="1446"/>
      <c r="L174" s="1449"/>
      <c r="M174" s="1446"/>
      <c r="N174" s="1450"/>
      <c r="O174" s="1450"/>
      <c r="P174" s="1446"/>
      <c r="Q174" s="76">
        <f>SUM(Q175,Q178,Q186,Q198,Q202,Q205,Q210,Q213,Q217,Q218,Q219,Q223,Q229,Q234,Q238,Q247,Q253,Q265)</f>
        <v>684897000</v>
      </c>
      <c r="R174" s="76">
        <f>SUM(R178,R186,R198,R202,R205,R210,R213,R217,R218,R219,R223,R229,R234,R238,R247,R253,R265)</f>
        <v>682392000</v>
      </c>
      <c r="S174" s="76">
        <f>Q174-R174</f>
        <v>2505000</v>
      </c>
      <c r="T174" s="573">
        <f t="shared" si="7"/>
        <v>3.6709105616712975E-3</v>
      </c>
      <c r="U174" s="945"/>
    </row>
    <row r="175" spans="1:25" ht="15" customHeight="1">
      <c r="A175" s="88"/>
      <c r="B175" s="81"/>
      <c r="C175" s="82"/>
      <c r="D175" s="79"/>
      <c r="E175" s="510" t="s">
        <v>727</v>
      </c>
      <c r="F175" s="515"/>
      <c r="G175" s="511"/>
      <c r="H175" s="510"/>
      <c r="I175" s="510"/>
      <c r="J175" s="510"/>
      <c r="K175" s="510"/>
      <c r="L175" s="512"/>
      <c r="M175" s="510"/>
      <c r="N175" s="513"/>
      <c r="O175" s="513"/>
      <c r="P175" s="510"/>
      <c r="Q175" s="171">
        <f>+P176</f>
        <v>27950000</v>
      </c>
      <c r="R175" s="171">
        <v>0</v>
      </c>
      <c r="S175" s="171">
        <f>Q175-R175</f>
        <v>27950000</v>
      </c>
      <c r="T175" s="172">
        <v>1</v>
      </c>
      <c r="U175" s="945"/>
    </row>
    <row r="176" spans="1:25" ht="15" customHeight="1">
      <c r="A176" s="88"/>
      <c r="B176" s="81"/>
      <c r="C176" s="82"/>
      <c r="D176" s="81"/>
      <c r="E176" s="1507"/>
      <c r="F176" s="145" t="s">
        <v>728</v>
      </c>
      <c r="G176" s="146"/>
      <c r="H176" s="147"/>
      <c r="I176" s="147"/>
      <c r="J176" s="147"/>
      <c r="K176" s="147"/>
      <c r="L176" s="148"/>
      <c r="M176" s="147"/>
      <c r="N176" s="149"/>
      <c r="O176" s="149"/>
      <c r="P176" s="938">
        <f>SUM(P177)</f>
        <v>27950000</v>
      </c>
      <c r="Q176" s="1508"/>
      <c r="R176" s="1508"/>
      <c r="S176" s="1508"/>
      <c r="T176" s="1509"/>
      <c r="U176" s="945"/>
    </row>
    <row r="177" spans="1:24" ht="15" customHeight="1">
      <c r="A177" s="88"/>
      <c r="B177" s="81"/>
      <c r="C177" s="82"/>
      <c r="D177" s="81"/>
      <c r="E177" s="563"/>
      <c r="F177" s="126" t="s">
        <v>729</v>
      </c>
      <c r="G177" s="121">
        <v>2150000</v>
      </c>
      <c r="H177" s="106" t="s">
        <v>636</v>
      </c>
      <c r="I177" s="107">
        <v>1</v>
      </c>
      <c r="J177" s="106" t="s">
        <v>109</v>
      </c>
      <c r="K177" s="108">
        <v>13</v>
      </c>
      <c r="L177" s="124"/>
      <c r="M177" s="1440"/>
      <c r="N177" s="110"/>
      <c r="O177" s="110" t="s">
        <v>283</v>
      </c>
      <c r="P177" s="111">
        <f>ROUNDUP(G177*I177*K177,-3)</f>
        <v>27950000</v>
      </c>
      <c r="Q177" s="930"/>
      <c r="R177" s="930"/>
      <c r="S177" s="930"/>
      <c r="T177" s="1510"/>
      <c r="U177" s="945"/>
      <c r="V177" s="945"/>
      <c r="W177" s="917">
        <v>2018</v>
      </c>
      <c r="X177" s="917">
        <v>2017</v>
      </c>
    </row>
    <row r="178" spans="1:24" ht="15" customHeight="1">
      <c r="A178" s="88"/>
      <c r="B178" s="89"/>
      <c r="C178" s="90"/>
      <c r="D178" s="89"/>
      <c r="E178" s="510" t="s">
        <v>431</v>
      </c>
      <c r="F178" s="515"/>
      <c r="G178" s="511"/>
      <c r="H178" s="510"/>
      <c r="I178" s="510"/>
      <c r="J178" s="510"/>
      <c r="K178" s="510"/>
      <c r="L178" s="512"/>
      <c r="M178" s="510"/>
      <c r="N178" s="513"/>
      <c r="O178" s="513"/>
      <c r="P178" s="510"/>
      <c r="Q178" s="171">
        <f>+P179</f>
        <v>143360000</v>
      </c>
      <c r="R178" s="171">
        <v>189437000</v>
      </c>
      <c r="S178" s="171">
        <f>Q178-R178</f>
        <v>-46077000</v>
      </c>
      <c r="T178" s="172">
        <f t="shared" ref="T178:T223" si="8">S178/R178</f>
        <v>-0.24323125894096717</v>
      </c>
      <c r="V178" s="917" t="s">
        <v>2133</v>
      </c>
      <c r="W178" s="945">
        <f>Q186+Q198+Q202+Q205+Q210+Q213+Q219+Q223+Q229+Q234+Q217+Q218</f>
        <v>82237000</v>
      </c>
      <c r="X178" s="945">
        <f>R186+R198+R202+R205+R210+R213+R219+R223+R229+R234+R217+R218</f>
        <v>70995000</v>
      </c>
    </row>
    <row r="179" spans="1:24" ht="15" customHeight="1">
      <c r="A179" s="88"/>
      <c r="B179" s="89"/>
      <c r="C179" s="90"/>
      <c r="D179" s="89"/>
      <c r="E179" s="90"/>
      <c r="F179" s="96" t="s">
        <v>730</v>
      </c>
      <c r="G179" s="123"/>
      <c r="H179" s="106"/>
      <c r="I179" s="106"/>
      <c r="J179" s="106"/>
      <c r="K179" s="106"/>
      <c r="L179" s="124"/>
      <c r="M179" s="106"/>
      <c r="N179" s="110"/>
      <c r="O179" s="110"/>
      <c r="P179" s="938">
        <f>SUM(P180:P185)</f>
        <v>143360000</v>
      </c>
      <c r="Q179" s="112"/>
      <c r="R179" s="131"/>
      <c r="S179" s="112"/>
      <c r="T179" s="113"/>
      <c r="V179" s="917" t="s">
        <v>2134</v>
      </c>
      <c r="W179" s="945">
        <f>Q238+Q247+Q253+Q265</f>
        <v>431350000</v>
      </c>
      <c r="X179" s="945">
        <f>R238+R247+R253+R265</f>
        <v>421960000</v>
      </c>
    </row>
    <row r="180" spans="1:24" ht="15" customHeight="1">
      <c r="A180" s="88"/>
      <c r="B180" s="89"/>
      <c r="C180" s="90"/>
      <c r="D180" s="89"/>
      <c r="E180" s="122"/>
      <c r="F180" s="126" t="s">
        <v>731</v>
      </c>
      <c r="G180" s="121">
        <v>1750000</v>
      </c>
      <c r="H180" s="106" t="s">
        <v>277</v>
      </c>
      <c r="I180" s="107">
        <v>2</v>
      </c>
      <c r="J180" s="106" t="s">
        <v>109</v>
      </c>
      <c r="K180" s="108">
        <v>12</v>
      </c>
      <c r="L180" s="109"/>
      <c r="M180" s="108"/>
      <c r="N180" s="110"/>
      <c r="O180" s="110" t="s">
        <v>283</v>
      </c>
      <c r="P180" s="111">
        <f>ROUNDUP(G180*I180*K180,-3)</f>
        <v>42000000</v>
      </c>
      <c r="Q180" s="112"/>
      <c r="R180" s="131"/>
      <c r="S180" s="112"/>
      <c r="T180" s="113"/>
      <c r="W180" s="945"/>
    </row>
    <row r="181" spans="1:24" ht="15" customHeight="1">
      <c r="A181" s="88"/>
      <c r="B181" s="89"/>
      <c r="C181" s="90"/>
      <c r="D181" s="89"/>
      <c r="E181" s="122"/>
      <c r="F181" s="126" t="s">
        <v>732</v>
      </c>
      <c r="G181" s="121">
        <v>2000000</v>
      </c>
      <c r="H181" s="106" t="s">
        <v>277</v>
      </c>
      <c r="I181" s="107">
        <v>1</v>
      </c>
      <c r="J181" s="106" t="s">
        <v>109</v>
      </c>
      <c r="K181" s="108">
        <v>12</v>
      </c>
      <c r="L181" s="109"/>
      <c r="M181" s="108"/>
      <c r="N181" s="110"/>
      <c r="O181" s="110" t="s">
        <v>638</v>
      </c>
      <c r="P181" s="111">
        <f t="shared" ref="P181:P183" si="9">ROUNDUP(G181*I181*K181,-3)</f>
        <v>24000000</v>
      </c>
      <c r="Q181" s="112"/>
      <c r="R181" s="131"/>
      <c r="S181" s="112"/>
      <c r="T181" s="113"/>
    </row>
    <row r="182" spans="1:24" ht="15" customHeight="1">
      <c r="A182" s="88"/>
      <c r="B182" s="89"/>
      <c r="C182" s="90"/>
      <c r="D182" s="89"/>
      <c r="E182" s="103"/>
      <c r="F182" s="104" t="s">
        <v>733</v>
      </c>
      <c r="G182" s="123">
        <v>1850000</v>
      </c>
      <c r="H182" s="106" t="s">
        <v>282</v>
      </c>
      <c r="I182" s="107">
        <v>2</v>
      </c>
      <c r="J182" s="106" t="s">
        <v>109</v>
      </c>
      <c r="K182" s="108">
        <v>12</v>
      </c>
      <c r="L182" s="109"/>
      <c r="M182" s="108"/>
      <c r="N182" s="110"/>
      <c r="O182" s="110" t="s">
        <v>283</v>
      </c>
      <c r="P182" s="111">
        <f t="shared" si="9"/>
        <v>44400000</v>
      </c>
      <c r="Q182" s="112"/>
      <c r="R182" s="131"/>
      <c r="S182" s="112"/>
      <c r="T182" s="113"/>
      <c r="W182" s="945"/>
    </row>
    <row r="183" spans="1:24" ht="15" customHeight="1">
      <c r="A183" s="88"/>
      <c r="B183" s="89"/>
      <c r="C183" s="90"/>
      <c r="D183" s="89"/>
      <c r="E183" s="103"/>
      <c r="F183" s="104" t="s">
        <v>734</v>
      </c>
      <c r="G183" s="123">
        <v>1850000</v>
      </c>
      <c r="H183" s="106" t="s">
        <v>636</v>
      </c>
      <c r="I183" s="107">
        <v>1</v>
      </c>
      <c r="J183" s="106" t="s">
        <v>109</v>
      </c>
      <c r="K183" s="108">
        <v>12</v>
      </c>
      <c r="L183" s="106"/>
      <c r="M183" s="1996"/>
      <c r="N183" s="1996"/>
      <c r="O183" s="110" t="s">
        <v>283</v>
      </c>
      <c r="P183" s="111">
        <f t="shared" si="9"/>
        <v>22200000</v>
      </c>
      <c r="Q183" s="112"/>
      <c r="R183" s="131"/>
      <c r="S183" s="112"/>
      <c r="T183" s="113"/>
    </row>
    <row r="184" spans="1:24" ht="15" customHeight="1">
      <c r="A184" s="88"/>
      <c r="B184" s="89"/>
      <c r="C184" s="90"/>
      <c r="D184" s="89"/>
      <c r="E184" s="103"/>
      <c r="F184" s="104" t="s">
        <v>735</v>
      </c>
      <c r="G184" s="123">
        <v>85000</v>
      </c>
      <c r="H184" s="106" t="s">
        <v>277</v>
      </c>
      <c r="I184" s="107">
        <v>7</v>
      </c>
      <c r="J184" s="106" t="s">
        <v>109</v>
      </c>
      <c r="K184" s="127">
        <v>8</v>
      </c>
      <c r="L184" s="106"/>
      <c r="M184" s="129"/>
      <c r="N184" s="106"/>
      <c r="O184" s="110" t="s">
        <v>638</v>
      </c>
      <c r="P184" s="111">
        <f>ROUNDUP(G184*I184*K184,-3)</f>
        <v>4760000</v>
      </c>
      <c r="Q184" s="112"/>
      <c r="R184" s="131"/>
      <c r="S184" s="112"/>
      <c r="T184" s="113"/>
    </row>
    <row r="185" spans="1:24" ht="15" customHeight="1">
      <c r="A185" s="561"/>
      <c r="B185" s="562"/>
      <c r="C185" s="563"/>
      <c r="D185" s="562"/>
      <c r="E185" s="1441"/>
      <c r="F185" s="1442" t="s">
        <v>432</v>
      </c>
      <c r="G185" s="943">
        <v>72000000</v>
      </c>
      <c r="H185" s="162" t="s">
        <v>277</v>
      </c>
      <c r="I185" s="1997" t="s">
        <v>736</v>
      </c>
      <c r="J185" s="1997"/>
      <c r="K185" s="163"/>
      <c r="L185" s="164"/>
      <c r="M185" s="163"/>
      <c r="N185" s="165"/>
      <c r="O185" s="165" t="s">
        <v>638</v>
      </c>
      <c r="P185" s="166">
        <f>G185/12</f>
        <v>6000000</v>
      </c>
      <c r="Q185" s="167"/>
      <c r="R185" s="168"/>
      <c r="S185" s="167"/>
      <c r="T185" s="169"/>
    </row>
    <row r="186" spans="1:24" ht="15" customHeight="1">
      <c r="A186" s="88"/>
      <c r="B186" s="89"/>
      <c r="C186" s="90"/>
      <c r="D186" s="89"/>
      <c r="E186" s="565" t="s">
        <v>433</v>
      </c>
      <c r="F186" s="566"/>
      <c r="G186" s="567"/>
      <c r="H186" s="565"/>
      <c r="I186" s="565"/>
      <c r="J186" s="565"/>
      <c r="K186" s="565"/>
      <c r="L186" s="568"/>
      <c r="M186" s="565"/>
      <c r="N186" s="569"/>
      <c r="O186" s="569"/>
      <c r="P186" s="565"/>
      <c r="Q186" s="188">
        <f>SUM(P187,P193,P195)</f>
        <v>35137000</v>
      </c>
      <c r="R186" s="188">
        <v>25615000</v>
      </c>
      <c r="S186" s="188">
        <f>Q186-R186</f>
        <v>9522000</v>
      </c>
      <c r="T186" s="570">
        <f t="shared" si="8"/>
        <v>0.37173531134101112</v>
      </c>
    </row>
    <row r="187" spans="1:24" ht="15" customHeight="1">
      <c r="A187" s="88"/>
      <c r="B187" s="89"/>
      <c r="C187" s="90"/>
      <c r="D187" s="89"/>
      <c r="E187" s="90"/>
      <c r="F187" s="96" t="s">
        <v>737</v>
      </c>
      <c r="G187" s="123"/>
      <c r="H187" s="106"/>
      <c r="I187" s="106"/>
      <c r="J187" s="106"/>
      <c r="K187" s="106"/>
      <c r="L187" s="124"/>
      <c r="M187" s="106"/>
      <c r="N187" s="110"/>
      <c r="O187" s="110"/>
      <c r="P187" s="938">
        <f>SUM(P188:P192)</f>
        <v>15937000</v>
      </c>
      <c r="Q187" s="112"/>
      <c r="R187" s="131"/>
      <c r="S187" s="112"/>
      <c r="T187" s="113"/>
    </row>
    <row r="188" spans="1:24" ht="15" customHeight="1">
      <c r="A188" s="88"/>
      <c r="B188" s="89"/>
      <c r="C188" s="90"/>
      <c r="D188" s="89"/>
      <c r="E188" s="122"/>
      <c r="F188" s="126" t="s">
        <v>517</v>
      </c>
      <c r="G188" s="121">
        <v>158400000</v>
      </c>
      <c r="H188" s="106" t="s">
        <v>277</v>
      </c>
      <c r="I188" s="1993">
        <v>4.4999999999999998E-2</v>
      </c>
      <c r="J188" s="1993"/>
      <c r="K188" s="108"/>
      <c r="L188" s="109"/>
      <c r="M188" s="108"/>
      <c r="N188" s="110"/>
      <c r="O188" s="110" t="s">
        <v>283</v>
      </c>
      <c r="P188" s="111">
        <f>ROUNDUP(G188*I188,-3)</f>
        <v>7128000</v>
      </c>
      <c r="Q188" s="112"/>
      <c r="R188" s="131"/>
      <c r="S188" s="112"/>
      <c r="T188" s="113"/>
    </row>
    <row r="189" spans="1:24" ht="15" customHeight="1">
      <c r="A189" s="88"/>
      <c r="B189" s="89"/>
      <c r="C189" s="90"/>
      <c r="D189" s="89"/>
      <c r="E189" s="103"/>
      <c r="F189" s="104" t="s">
        <v>738</v>
      </c>
      <c r="G189" s="121">
        <v>158400000</v>
      </c>
      <c r="H189" s="106" t="s">
        <v>636</v>
      </c>
      <c r="I189" s="1993">
        <v>3.0599999999999999E-2</v>
      </c>
      <c r="J189" s="1993"/>
      <c r="K189" s="108"/>
      <c r="L189" s="109"/>
      <c r="M189" s="108"/>
      <c r="N189" s="110"/>
      <c r="O189" s="110" t="s">
        <v>638</v>
      </c>
      <c r="P189" s="111">
        <f>ROUNDUP(G189*I189,-3)</f>
        <v>4848000</v>
      </c>
      <c r="Q189" s="112"/>
      <c r="R189" s="131"/>
      <c r="S189" s="112"/>
      <c r="T189" s="113"/>
    </row>
    <row r="190" spans="1:24" ht="15" customHeight="1">
      <c r="A190" s="88"/>
      <c r="B190" s="89"/>
      <c r="C190" s="90"/>
      <c r="D190" s="89"/>
      <c r="E190" s="103"/>
      <c r="F190" s="104" t="s">
        <v>385</v>
      </c>
      <c r="G190" s="121">
        <v>4848000</v>
      </c>
      <c r="H190" s="106" t="s">
        <v>277</v>
      </c>
      <c r="I190" s="1993">
        <v>3.2750000000000001E-2</v>
      </c>
      <c r="J190" s="1993"/>
      <c r="K190" s="108"/>
      <c r="L190" s="109"/>
      <c r="M190" s="108"/>
      <c r="N190" s="110"/>
      <c r="O190" s="110" t="s">
        <v>638</v>
      </c>
      <c r="P190" s="111">
        <f>ROUNDUP(G190*I190,-3)</f>
        <v>159000</v>
      </c>
      <c r="Q190" s="112"/>
      <c r="R190" s="131"/>
      <c r="S190" s="112"/>
      <c r="T190" s="113"/>
    </row>
    <row r="191" spans="1:24" ht="15" customHeight="1">
      <c r="A191" s="88"/>
      <c r="B191" s="89"/>
      <c r="C191" s="90"/>
      <c r="D191" s="89"/>
      <c r="E191" s="103"/>
      <c r="F191" s="104" t="s">
        <v>386</v>
      </c>
      <c r="G191" s="121">
        <v>158400000</v>
      </c>
      <c r="H191" s="106" t="s">
        <v>636</v>
      </c>
      <c r="I191" s="1993">
        <v>1.4999999999999999E-2</v>
      </c>
      <c r="J191" s="1993"/>
      <c r="K191" s="108"/>
      <c r="L191" s="109"/>
      <c r="M191" s="108"/>
      <c r="N191" s="110"/>
      <c r="O191" s="110" t="s">
        <v>638</v>
      </c>
      <c r="P191" s="111">
        <f>ROUNDUP(G191*I191,-3)</f>
        <v>2376000</v>
      </c>
      <c r="Q191" s="112"/>
      <c r="R191" s="131"/>
      <c r="S191" s="112"/>
      <c r="T191" s="113"/>
    </row>
    <row r="192" spans="1:24" ht="15" customHeight="1">
      <c r="A192" s="88"/>
      <c r="B192" s="89"/>
      <c r="C192" s="90"/>
      <c r="D192" s="89"/>
      <c r="E192" s="103"/>
      <c r="F192" s="104" t="s">
        <v>387</v>
      </c>
      <c r="G192" s="121">
        <v>158400000</v>
      </c>
      <c r="H192" s="106" t="s">
        <v>277</v>
      </c>
      <c r="I192" s="1993">
        <v>8.9999999999999993E-3</v>
      </c>
      <c r="J192" s="1993"/>
      <c r="K192" s="108"/>
      <c r="L192" s="109"/>
      <c r="M192" s="108"/>
      <c r="N192" s="110"/>
      <c r="O192" s="110" t="s">
        <v>638</v>
      </c>
      <c r="P192" s="111">
        <f>ROUNDUP(G192*I192,-3)</f>
        <v>1426000</v>
      </c>
      <c r="Q192" s="112"/>
      <c r="R192" s="131"/>
      <c r="S192" s="112"/>
      <c r="T192" s="113"/>
    </row>
    <row r="193" spans="1:20" ht="15" customHeight="1">
      <c r="A193" s="88"/>
      <c r="B193" s="89"/>
      <c r="C193" s="90"/>
      <c r="D193" s="89"/>
      <c r="E193" s="90"/>
      <c r="F193" s="96" t="s">
        <v>367</v>
      </c>
      <c r="G193" s="123"/>
      <c r="H193" s="106"/>
      <c r="I193" s="106"/>
      <c r="J193" s="106"/>
      <c r="K193" s="106"/>
      <c r="L193" s="124"/>
      <c r="M193" s="106"/>
      <c r="N193" s="110"/>
      <c r="O193" s="110"/>
      <c r="P193" s="938">
        <f>SUM(P194:P194)</f>
        <v>4800000</v>
      </c>
      <c r="Q193" s="112"/>
      <c r="R193" s="131"/>
      <c r="S193" s="112"/>
      <c r="T193" s="113"/>
    </row>
    <row r="194" spans="1:20" ht="15" customHeight="1">
      <c r="A194" s="88"/>
      <c r="B194" s="89"/>
      <c r="C194" s="90"/>
      <c r="D194" s="89"/>
      <c r="E194" s="103"/>
      <c r="F194" s="104" t="s">
        <v>437</v>
      </c>
      <c r="G194" s="121">
        <v>8000</v>
      </c>
      <c r="H194" s="106" t="s">
        <v>277</v>
      </c>
      <c r="I194" s="107">
        <v>5</v>
      </c>
      <c r="J194" s="106" t="s">
        <v>109</v>
      </c>
      <c r="K194" s="129">
        <v>10</v>
      </c>
      <c r="L194" s="106" t="s">
        <v>109</v>
      </c>
      <c r="M194" s="1994">
        <v>12</v>
      </c>
      <c r="N194" s="1994"/>
      <c r="O194" s="110" t="s">
        <v>283</v>
      </c>
      <c r="P194" s="111">
        <f>ROUNDUP(G194*I194*K194*M194,-3)</f>
        <v>4800000</v>
      </c>
      <c r="Q194" s="112"/>
      <c r="R194" s="131"/>
      <c r="S194" s="112"/>
      <c r="T194" s="113"/>
    </row>
    <row r="195" spans="1:20" ht="15" customHeight="1">
      <c r="A195" s="88"/>
      <c r="B195" s="89"/>
      <c r="C195" s="90"/>
      <c r="D195" s="89"/>
      <c r="E195" s="90"/>
      <c r="F195" s="96" t="s">
        <v>438</v>
      </c>
      <c r="G195" s="123"/>
      <c r="H195" s="106"/>
      <c r="I195" s="106"/>
      <c r="J195" s="106"/>
      <c r="K195" s="106"/>
      <c r="L195" s="124"/>
      <c r="M195" s="106"/>
      <c r="N195" s="110"/>
      <c r="O195" s="110"/>
      <c r="P195" s="938">
        <f>SUM(P196:P197)</f>
        <v>14400000</v>
      </c>
      <c r="Q195" s="112"/>
      <c r="R195" s="131"/>
      <c r="S195" s="112"/>
      <c r="T195" s="113"/>
    </row>
    <row r="196" spans="1:20" ht="15" customHeight="1">
      <c r="A196" s="88"/>
      <c r="B196" s="89"/>
      <c r="C196" s="90"/>
      <c r="D196" s="89"/>
      <c r="E196" s="122"/>
      <c r="F196" s="126" t="s">
        <v>739</v>
      </c>
      <c r="G196" s="121">
        <v>400000</v>
      </c>
      <c r="H196" s="106" t="s">
        <v>636</v>
      </c>
      <c r="I196" s="1511">
        <v>6</v>
      </c>
      <c r="J196" s="106"/>
      <c r="K196" s="108"/>
      <c r="L196" s="109"/>
      <c r="M196" s="108"/>
      <c r="N196" s="110"/>
      <c r="O196" s="110" t="s">
        <v>638</v>
      </c>
      <c r="P196" s="111">
        <f>ROUNDUP(G196*I196,-3)</f>
        <v>2400000</v>
      </c>
      <c r="Q196" s="112"/>
      <c r="R196" s="131"/>
      <c r="S196" s="112"/>
      <c r="T196" s="113"/>
    </row>
    <row r="197" spans="1:20" ht="15" customHeight="1">
      <c r="A197" s="88"/>
      <c r="B197" s="89"/>
      <c r="C197" s="90"/>
      <c r="D197" s="89"/>
      <c r="E197" s="122"/>
      <c r="F197" s="126" t="s">
        <v>740</v>
      </c>
      <c r="G197" s="1512">
        <v>1000000</v>
      </c>
      <c r="H197" s="106" t="s">
        <v>277</v>
      </c>
      <c r="I197" s="107">
        <v>12</v>
      </c>
      <c r="J197" s="106"/>
      <c r="K197" s="108"/>
      <c r="L197" s="109"/>
      <c r="M197" s="108"/>
      <c r="N197" s="110"/>
      <c r="O197" s="110" t="s">
        <v>283</v>
      </c>
      <c r="P197" s="111">
        <f>ROUNDUP(G197*I197,-3)</f>
        <v>12000000</v>
      </c>
      <c r="Q197" s="112"/>
      <c r="R197" s="131"/>
      <c r="S197" s="112"/>
      <c r="T197" s="113"/>
    </row>
    <row r="198" spans="1:20" ht="15" customHeight="1">
      <c r="A198" s="88"/>
      <c r="B198" s="89"/>
      <c r="C198" s="90"/>
      <c r="D198" s="89"/>
      <c r="E198" s="510" t="s">
        <v>741</v>
      </c>
      <c r="F198" s="515"/>
      <c r="G198" s="511"/>
      <c r="H198" s="510"/>
      <c r="I198" s="510"/>
      <c r="J198" s="510"/>
      <c r="K198" s="510"/>
      <c r="L198" s="512"/>
      <c r="M198" s="510"/>
      <c r="N198" s="513"/>
      <c r="O198" s="513"/>
      <c r="P198" s="510"/>
      <c r="Q198" s="171">
        <f>+P199</f>
        <v>18040000</v>
      </c>
      <c r="R198" s="171">
        <v>12840000</v>
      </c>
      <c r="S198" s="171">
        <f>Q198-R198</f>
        <v>5200000</v>
      </c>
      <c r="T198" s="172">
        <f t="shared" si="8"/>
        <v>0.40498442367601245</v>
      </c>
    </row>
    <row r="199" spans="1:20" ht="15" customHeight="1">
      <c r="A199" s="88"/>
      <c r="B199" s="89"/>
      <c r="C199" s="90"/>
      <c r="D199" s="89"/>
      <c r="E199" s="90"/>
      <c r="F199" s="96" t="s">
        <v>742</v>
      </c>
      <c r="G199" s="123"/>
      <c r="H199" s="106"/>
      <c r="I199" s="106"/>
      <c r="J199" s="106"/>
      <c r="K199" s="106"/>
      <c r="L199" s="124"/>
      <c r="M199" s="106"/>
      <c r="N199" s="110"/>
      <c r="O199" s="110"/>
      <c r="P199" s="938">
        <f>SUM(P200:P201)</f>
        <v>18040000</v>
      </c>
      <c r="Q199" s="112"/>
      <c r="R199" s="131"/>
      <c r="S199" s="112"/>
      <c r="T199" s="113"/>
    </row>
    <row r="200" spans="1:20" ht="15" customHeight="1">
      <c r="A200" s="88"/>
      <c r="B200" s="89"/>
      <c r="C200" s="90"/>
      <c r="D200" s="89"/>
      <c r="E200" s="122"/>
      <c r="F200" s="126" t="s">
        <v>743</v>
      </c>
      <c r="G200" s="121">
        <v>120000</v>
      </c>
      <c r="H200" s="106" t="s">
        <v>277</v>
      </c>
      <c r="I200" s="107">
        <v>11</v>
      </c>
      <c r="J200" s="106" t="s">
        <v>109</v>
      </c>
      <c r="K200" s="108">
        <v>12</v>
      </c>
      <c r="L200" s="109"/>
      <c r="M200" s="108"/>
      <c r="N200" s="110"/>
      <c r="O200" s="110" t="s">
        <v>638</v>
      </c>
      <c r="P200" s="111">
        <f>G200*I200*K200</f>
        <v>15840000</v>
      </c>
      <c r="Q200" s="112"/>
      <c r="R200" s="131"/>
      <c r="S200" s="112"/>
      <c r="T200" s="113"/>
    </row>
    <row r="201" spans="1:20" ht="15" customHeight="1">
      <c r="A201" s="88"/>
      <c r="B201" s="89"/>
      <c r="C201" s="90"/>
      <c r="D201" s="89"/>
      <c r="E201" s="103"/>
      <c r="F201" s="104" t="s">
        <v>744</v>
      </c>
      <c r="G201" s="123">
        <v>40000</v>
      </c>
      <c r="H201" s="106" t="s">
        <v>277</v>
      </c>
      <c r="I201" s="107">
        <v>5</v>
      </c>
      <c r="J201" s="106" t="s">
        <v>109</v>
      </c>
      <c r="K201" s="129">
        <v>11</v>
      </c>
      <c r="L201" s="109"/>
      <c r="M201" s="108"/>
      <c r="N201" s="110"/>
      <c r="O201" s="110" t="s">
        <v>283</v>
      </c>
      <c r="P201" s="111">
        <f>G201*I201*K201</f>
        <v>2200000</v>
      </c>
      <c r="Q201" s="112"/>
      <c r="R201" s="131"/>
      <c r="S201" s="112"/>
      <c r="T201" s="113"/>
    </row>
    <row r="202" spans="1:20" ht="15" customHeight="1">
      <c r="A202" s="88"/>
      <c r="B202" s="89"/>
      <c r="C202" s="90"/>
      <c r="D202" s="89"/>
      <c r="E202" s="510" t="s">
        <v>388</v>
      </c>
      <c r="F202" s="515"/>
      <c r="G202" s="511"/>
      <c r="H202" s="510"/>
      <c r="I202" s="510"/>
      <c r="J202" s="510"/>
      <c r="K202" s="510"/>
      <c r="L202" s="512"/>
      <c r="M202" s="510"/>
      <c r="N202" s="513"/>
      <c r="O202" s="513"/>
      <c r="P202" s="510"/>
      <c r="Q202" s="171">
        <f>+P203</f>
        <v>1000000</v>
      </c>
      <c r="R202" s="171">
        <v>1000000</v>
      </c>
      <c r="S202" s="171">
        <f>Q202-R202</f>
        <v>0</v>
      </c>
      <c r="T202" s="172">
        <f t="shared" si="8"/>
        <v>0</v>
      </c>
    </row>
    <row r="203" spans="1:20" ht="15" customHeight="1">
      <c r="A203" s="88"/>
      <c r="B203" s="89"/>
      <c r="C203" s="90"/>
      <c r="D203" s="89"/>
      <c r="E203" s="90"/>
      <c r="F203" s="96" t="s">
        <v>745</v>
      </c>
      <c r="G203" s="123"/>
      <c r="H203" s="106"/>
      <c r="I203" s="106"/>
      <c r="J203" s="106"/>
      <c r="K203" s="106"/>
      <c r="L203" s="124"/>
      <c r="M203" s="106"/>
      <c r="N203" s="110"/>
      <c r="O203" s="110"/>
      <c r="P203" s="938">
        <f>SUM(P204:P204)</f>
        <v>1000000</v>
      </c>
      <c r="Q203" s="112"/>
      <c r="R203" s="131"/>
      <c r="S203" s="112"/>
      <c r="T203" s="113"/>
    </row>
    <row r="204" spans="1:20" ht="15" customHeight="1">
      <c r="A204" s="88"/>
      <c r="B204" s="89"/>
      <c r="C204" s="90"/>
      <c r="D204" s="89"/>
      <c r="E204" s="122"/>
      <c r="F204" s="126" t="s">
        <v>746</v>
      </c>
      <c r="G204" s="121">
        <v>250000</v>
      </c>
      <c r="H204" s="106" t="s">
        <v>277</v>
      </c>
      <c r="I204" s="142">
        <v>4</v>
      </c>
      <c r="J204" s="106"/>
      <c r="K204" s="108"/>
      <c r="L204" s="109"/>
      <c r="M204" s="108"/>
      <c r="N204" s="110"/>
      <c r="O204" s="110" t="s">
        <v>638</v>
      </c>
      <c r="P204" s="111">
        <f>ROUNDUP(G204*I204,-3)</f>
        <v>1000000</v>
      </c>
      <c r="Q204" s="112"/>
      <c r="R204" s="131"/>
      <c r="S204" s="112"/>
      <c r="T204" s="113"/>
    </row>
    <row r="205" spans="1:20" ht="15" customHeight="1">
      <c r="A205" s="88"/>
      <c r="B205" s="89"/>
      <c r="C205" s="90"/>
      <c r="D205" s="89"/>
      <c r="E205" s="510" t="s">
        <v>747</v>
      </c>
      <c r="F205" s="515"/>
      <c r="G205" s="511"/>
      <c r="H205" s="510"/>
      <c r="I205" s="510"/>
      <c r="J205" s="510"/>
      <c r="K205" s="510"/>
      <c r="L205" s="512"/>
      <c r="M205" s="510"/>
      <c r="N205" s="513"/>
      <c r="O205" s="513"/>
      <c r="P205" s="510"/>
      <c r="Q205" s="171">
        <f>SUM(P206,P208)</f>
        <v>1200000</v>
      </c>
      <c r="R205" s="171">
        <v>1020000</v>
      </c>
      <c r="S205" s="171">
        <f>Q205-R205</f>
        <v>180000</v>
      </c>
      <c r="T205" s="172">
        <f t="shared" si="8"/>
        <v>0.17647058823529413</v>
      </c>
    </row>
    <row r="206" spans="1:20" ht="15" customHeight="1">
      <c r="A206" s="88"/>
      <c r="B206" s="89"/>
      <c r="C206" s="90"/>
      <c r="D206" s="89"/>
      <c r="E206" s="90"/>
      <c r="F206" s="96" t="s">
        <v>669</v>
      </c>
      <c r="G206" s="123"/>
      <c r="H206" s="106"/>
      <c r="I206" s="106"/>
      <c r="J206" s="106"/>
      <c r="K206" s="106"/>
      <c r="L206" s="124"/>
      <c r="M206" s="106"/>
      <c r="N206" s="110"/>
      <c r="O206" s="110"/>
      <c r="P206" s="938">
        <f>SUM(P207:P207)</f>
        <v>600000</v>
      </c>
      <c r="Q206" s="112"/>
      <c r="R206" s="131"/>
      <c r="S206" s="112"/>
      <c r="T206" s="113"/>
    </row>
    <row r="207" spans="1:20" ht="15" customHeight="1">
      <c r="A207" s="88"/>
      <c r="B207" s="89"/>
      <c r="C207" s="90"/>
      <c r="D207" s="89"/>
      <c r="E207" s="122"/>
      <c r="F207" s="126" t="s">
        <v>748</v>
      </c>
      <c r="G207" s="121">
        <v>50000</v>
      </c>
      <c r="H207" s="106" t="s">
        <v>636</v>
      </c>
      <c r="I207" s="108">
        <v>12</v>
      </c>
      <c r="J207" s="106"/>
      <c r="K207" s="108"/>
      <c r="L207" s="109"/>
      <c r="M207" s="108"/>
      <c r="N207" s="110"/>
      <c r="O207" s="110" t="s">
        <v>283</v>
      </c>
      <c r="P207" s="111">
        <f>ROUNDUP(G207*I207,-3)</f>
        <v>600000</v>
      </c>
      <c r="Q207" s="112"/>
      <c r="R207" s="131"/>
      <c r="S207" s="112"/>
      <c r="T207" s="113"/>
    </row>
    <row r="208" spans="1:20" ht="15" customHeight="1">
      <c r="A208" s="88"/>
      <c r="B208" s="89"/>
      <c r="C208" s="90"/>
      <c r="D208" s="89"/>
      <c r="E208" s="90"/>
      <c r="F208" s="96" t="s">
        <v>443</v>
      </c>
      <c r="G208" s="123"/>
      <c r="H208" s="106"/>
      <c r="I208" s="106"/>
      <c r="J208" s="106"/>
      <c r="K208" s="106"/>
      <c r="L208" s="124"/>
      <c r="M208" s="106"/>
      <c r="N208" s="110"/>
      <c r="O208" s="110"/>
      <c r="P208" s="938">
        <f>SUM(P209:P209)</f>
        <v>600000</v>
      </c>
      <c r="Q208" s="112"/>
      <c r="R208" s="131"/>
      <c r="S208" s="112"/>
      <c r="T208" s="113"/>
    </row>
    <row r="209" spans="1:20" ht="15" customHeight="1">
      <c r="A209" s="88"/>
      <c r="B209" s="89"/>
      <c r="C209" s="90"/>
      <c r="D209" s="89"/>
      <c r="E209" s="122"/>
      <c r="F209" s="126" t="s">
        <v>749</v>
      </c>
      <c r="G209" s="121">
        <v>50000</v>
      </c>
      <c r="H209" s="106" t="s">
        <v>277</v>
      </c>
      <c r="I209" s="108">
        <v>12</v>
      </c>
      <c r="J209" s="106"/>
      <c r="K209" s="108"/>
      <c r="L209" s="109"/>
      <c r="M209" s="108"/>
      <c r="N209" s="110"/>
      <c r="O209" s="110" t="s">
        <v>638</v>
      </c>
      <c r="P209" s="111">
        <f>ROUNDUP(G209*I209,-3)</f>
        <v>600000</v>
      </c>
      <c r="Q209" s="112"/>
      <c r="R209" s="131"/>
      <c r="S209" s="112"/>
      <c r="T209" s="113"/>
    </row>
    <row r="210" spans="1:20" ht="15" customHeight="1">
      <c r="A210" s="88"/>
      <c r="B210" s="89"/>
      <c r="C210" s="90"/>
      <c r="D210" s="89"/>
      <c r="E210" s="510" t="s">
        <v>444</v>
      </c>
      <c r="F210" s="515"/>
      <c r="G210" s="511"/>
      <c r="H210" s="510"/>
      <c r="I210" s="510"/>
      <c r="J210" s="510"/>
      <c r="K210" s="510"/>
      <c r="L210" s="512"/>
      <c r="M210" s="510"/>
      <c r="N210" s="513"/>
      <c r="O210" s="513"/>
      <c r="P210" s="510"/>
      <c r="Q210" s="171">
        <f>+P211</f>
        <v>880000</v>
      </c>
      <c r="R210" s="171">
        <v>1200000</v>
      </c>
      <c r="S210" s="171">
        <f>Q210-R210</f>
        <v>-320000</v>
      </c>
      <c r="T210" s="172">
        <f t="shared" si="8"/>
        <v>-0.26666666666666666</v>
      </c>
    </row>
    <row r="211" spans="1:20" ht="15" customHeight="1">
      <c r="A211" s="88"/>
      <c r="B211" s="89"/>
      <c r="C211" s="90"/>
      <c r="D211" s="89"/>
      <c r="E211" s="90"/>
      <c r="F211" s="96" t="s">
        <v>750</v>
      </c>
      <c r="G211" s="123"/>
      <c r="H211" s="106"/>
      <c r="I211" s="106"/>
      <c r="J211" s="106"/>
      <c r="K211" s="106"/>
      <c r="L211" s="124"/>
      <c r="M211" s="106"/>
      <c r="N211" s="110"/>
      <c r="O211" s="110"/>
      <c r="P211" s="938">
        <f>SUM(P212:P212)</f>
        <v>880000</v>
      </c>
      <c r="Q211" s="112"/>
      <c r="R211" s="131"/>
      <c r="S211" s="112"/>
      <c r="T211" s="113"/>
    </row>
    <row r="212" spans="1:20" ht="15" customHeight="1">
      <c r="A212" s="88"/>
      <c r="B212" s="89"/>
      <c r="C212" s="90"/>
      <c r="D212" s="89"/>
      <c r="E212" s="122"/>
      <c r="F212" s="126" t="s">
        <v>751</v>
      </c>
      <c r="G212" s="121">
        <v>80000</v>
      </c>
      <c r="H212" s="106" t="s">
        <v>636</v>
      </c>
      <c r="I212" s="107">
        <v>11</v>
      </c>
      <c r="J212" s="106"/>
      <c r="K212" s="108"/>
      <c r="L212" s="109"/>
      <c r="M212" s="108"/>
      <c r="N212" s="110"/>
      <c r="O212" s="110" t="s">
        <v>638</v>
      </c>
      <c r="P212" s="111">
        <f>ROUNDUP(G212*I212,-3)</f>
        <v>880000</v>
      </c>
      <c r="Q212" s="112"/>
      <c r="R212" s="131"/>
      <c r="S212" s="112"/>
      <c r="T212" s="113"/>
    </row>
    <row r="213" spans="1:20" ht="15" customHeight="1">
      <c r="A213" s="88"/>
      <c r="B213" s="89"/>
      <c r="C213" s="90"/>
      <c r="D213" s="89"/>
      <c r="E213" s="510" t="s">
        <v>401</v>
      </c>
      <c r="F213" s="515"/>
      <c r="G213" s="511"/>
      <c r="H213" s="510"/>
      <c r="I213" s="510"/>
      <c r="J213" s="510"/>
      <c r="K213" s="510"/>
      <c r="L213" s="512"/>
      <c r="M213" s="510"/>
      <c r="N213" s="513"/>
      <c r="O213" s="513"/>
      <c r="P213" s="510"/>
      <c r="Q213" s="171">
        <f>+P214</f>
        <v>4200000</v>
      </c>
      <c r="R213" s="171">
        <v>5780000</v>
      </c>
      <c r="S213" s="171">
        <f>Q213-R213</f>
        <v>-1580000</v>
      </c>
      <c r="T213" s="172">
        <f t="shared" si="8"/>
        <v>-0.27335640138408307</v>
      </c>
    </row>
    <row r="214" spans="1:20" ht="15" customHeight="1">
      <c r="A214" s="88"/>
      <c r="B214" s="89"/>
      <c r="C214" s="90"/>
      <c r="D214" s="89"/>
      <c r="E214" s="90"/>
      <c r="F214" s="96" t="s">
        <v>752</v>
      </c>
      <c r="G214" s="123"/>
      <c r="H214" s="106"/>
      <c r="I214" s="106"/>
      <c r="J214" s="106"/>
      <c r="K214" s="106"/>
      <c r="L214" s="124"/>
      <c r="M214" s="106"/>
      <c r="N214" s="110"/>
      <c r="O214" s="110"/>
      <c r="P214" s="938">
        <f>SUM(P215:P216)</f>
        <v>4200000</v>
      </c>
      <c r="Q214" s="112"/>
      <c r="R214" s="131"/>
      <c r="S214" s="112"/>
      <c r="T214" s="113"/>
    </row>
    <row r="215" spans="1:20" ht="15" customHeight="1">
      <c r="A215" s="88"/>
      <c r="B215" s="89"/>
      <c r="C215" s="90"/>
      <c r="D215" s="89"/>
      <c r="E215" s="122"/>
      <c r="F215" s="126" t="s">
        <v>753</v>
      </c>
      <c r="G215" s="121">
        <v>150000</v>
      </c>
      <c r="H215" s="106" t="s">
        <v>636</v>
      </c>
      <c r="I215" s="142">
        <v>4</v>
      </c>
      <c r="J215" s="106"/>
      <c r="K215" s="108"/>
      <c r="L215" s="109"/>
      <c r="M215" s="108"/>
      <c r="N215" s="110"/>
      <c r="O215" s="110" t="s">
        <v>638</v>
      </c>
      <c r="P215" s="111">
        <f>ROUNDUP(G215*I215,-3)</f>
        <v>600000</v>
      </c>
      <c r="Q215" s="112"/>
      <c r="R215" s="131"/>
      <c r="S215" s="112"/>
      <c r="T215" s="113"/>
    </row>
    <row r="216" spans="1:20" ht="15" customHeight="1">
      <c r="A216" s="88"/>
      <c r="B216" s="89"/>
      <c r="C216" s="90"/>
      <c r="D216" s="89"/>
      <c r="E216" s="103"/>
      <c r="F216" s="104" t="s">
        <v>754</v>
      </c>
      <c r="G216" s="123">
        <v>3600000</v>
      </c>
      <c r="H216" s="106" t="s">
        <v>636</v>
      </c>
      <c r="I216" s="142">
        <v>1</v>
      </c>
      <c r="J216" s="106"/>
      <c r="K216" s="108"/>
      <c r="L216" s="109"/>
      <c r="M216" s="108"/>
      <c r="N216" s="110"/>
      <c r="O216" s="110" t="s">
        <v>638</v>
      </c>
      <c r="P216" s="111">
        <f>ROUNDUP(G216*I216,-3)</f>
        <v>3600000</v>
      </c>
      <c r="Q216" s="112"/>
      <c r="R216" s="131"/>
      <c r="S216" s="112"/>
      <c r="T216" s="113"/>
    </row>
    <row r="217" spans="1:20" ht="15" customHeight="1">
      <c r="A217" s="88"/>
      <c r="B217" s="89"/>
      <c r="C217" s="90"/>
      <c r="D217" s="89"/>
      <c r="E217" s="510" t="s">
        <v>404</v>
      </c>
      <c r="F217" s="515"/>
      <c r="G217" s="511"/>
      <c r="H217" s="510"/>
      <c r="I217" s="510"/>
      <c r="J217" s="510"/>
      <c r="K217" s="510"/>
      <c r="L217" s="512"/>
      <c r="M217" s="510"/>
      <c r="N217" s="513"/>
      <c r="O217" s="513"/>
      <c r="P217" s="510"/>
      <c r="Q217" s="171">
        <v>0</v>
      </c>
      <c r="R217" s="171">
        <v>1600000</v>
      </c>
      <c r="S217" s="171">
        <f>Q217-R217</f>
        <v>-1600000</v>
      </c>
      <c r="T217" s="172">
        <f t="shared" si="8"/>
        <v>-1</v>
      </c>
    </row>
    <row r="218" spans="1:20" ht="15" customHeight="1">
      <c r="A218" s="88"/>
      <c r="B218" s="89"/>
      <c r="C218" s="90"/>
      <c r="D218" s="89"/>
      <c r="E218" s="510" t="s">
        <v>755</v>
      </c>
      <c r="F218" s="515"/>
      <c r="G218" s="511"/>
      <c r="H218" s="510"/>
      <c r="I218" s="510"/>
      <c r="J218" s="510"/>
      <c r="K218" s="510"/>
      <c r="L218" s="512"/>
      <c r="M218" s="510"/>
      <c r="N218" s="513"/>
      <c r="O218" s="513"/>
      <c r="P218" s="510"/>
      <c r="Q218" s="171">
        <v>0</v>
      </c>
      <c r="R218" s="171">
        <v>100000</v>
      </c>
      <c r="S218" s="171">
        <f>Q218-R218</f>
        <v>-100000</v>
      </c>
      <c r="T218" s="172">
        <f t="shared" si="8"/>
        <v>-1</v>
      </c>
    </row>
    <row r="219" spans="1:20" ht="15" customHeight="1">
      <c r="A219" s="88"/>
      <c r="B219" s="89"/>
      <c r="C219" s="90"/>
      <c r="D219" s="89"/>
      <c r="E219" s="510" t="s">
        <v>537</v>
      </c>
      <c r="F219" s="515"/>
      <c r="G219" s="511"/>
      <c r="H219" s="510"/>
      <c r="I219" s="510"/>
      <c r="J219" s="510"/>
      <c r="K219" s="510"/>
      <c r="L219" s="512"/>
      <c r="M219" s="510"/>
      <c r="N219" s="513"/>
      <c r="O219" s="513"/>
      <c r="P219" s="510"/>
      <c r="Q219" s="171">
        <f>+P220</f>
        <v>8400000</v>
      </c>
      <c r="R219" s="171">
        <v>8400000</v>
      </c>
      <c r="S219" s="171">
        <f>Q219-R219</f>
        <v>0</v>
      </c>
      <c r="T219" s="172">
        <f t="shared" si="8"/>
        <v>0</v>
      </c>
    </row>
    <row r="220" spans="1:20" ht="15" customHeight="1">
      <c r="A220" s="88"/>
      <c r="B220" s="89"/>
      <c r="C220" s="90"/>
      <c r="D220" s="89"/>
      <c r="E220" s="90"/>
      <c r="F220" s="96" t="s">
        <v>756</v>
      </c>
      <c r="G220" s="123"/>
      <c r="H220" s="106"/>
      <c r="I220" s="106"/>
      <c r="J220" s="106"/>
      <c r="K220" s="106"/>
      <c r="L220" s="124"/>
      <c r="M220" s="106"/>
      <c r="N220" s="110"/>
      <c r="O220" s="110"/>
      <c r="P220" s="938">
        <f>SUM(P221:P222)</f>
        <v>8400000</v>
      </c>
      <c r="Q220" s="112"/>
      <c r="R220" s="131"/>
      <c r="S220" s="112"/>
      <c r="T220" s="113"/>
    </row>
    <row r="221" spans="1:20" ht="15" customHeight="1">
      <c r="A221" s="88"/>
      <c r="B221" s="89"/>
      <c r="C221" s="90"/>
      <c r="D221" s="89"/>
      <c r="E221" s="122"/>
      <c r="F221" s="126" t="s">
        <v>757</v>
      </c>
      <c r="G221" s="121">
        <v>400000</v>
      </c>
      <c r="H221" s="106" t="s">
        <v>636</v>
      </c>
      <c r="I221" s="108">
        <v>12</v>
      </c>
      <c r="J221" s="106"/>
      <c r="K221" s="108"/>
      <c r="L221" s="109"/>
      <c r="M221" s="108"/>
      <c r="N221" s="110"/>
      <c r="O221" s="110" t="s">
        <v>638</v>
      </c>
      <c r="P221" s="111">
        <f>ROUNDUP(G221*I221,-3)</f>
        <v>4800000</v>
      </c>
      <c r="Q221" s="112"/>
      <c r="R221" s="131"/>
      <c r="S221" s="112"/>
      <c r="T221" s="113"/>
    </row>
    <row r="222" spans="1:20" ht="15" customHeight="1">
      <c r="A222" s="561"/>
      <c r="B222" s="562"/>
      <c r="C222" s="563"/>
      <c r="D222" s="562"/>
      <c r="E222" s="571"/>
      <c r="F222" s="160" t="s">
        <v>758</v>
      </c>
      <c r="G222" s="943">
        <v>150000</v>
      </c>
      <c r="H222" s="162" t="s">
        <v>636</v>
      </c>
      <c r="I222" s="1513">
        <v>2</v>
      </c>
      <c r="J222" s="162" t="s">
        <v>636</v>
      </c>
      <c r="K222" s="163">
        <v>12</v>
      </c>
      <c r="L222" s="164"/>
      <c r="M222" s="163"/>
      <c r="N222" s="165"/>
      <c r="O222" s="165" t="s">
        <v>638</v>
      </c>
      <c r="P222" s="166">
        <f>ROUNDUP(G222*I222*K222,-3)</f>
        <v>3600000</v>
      </c>
      <c r="Q222" s="167"/>
      <c r="R222" s="168"/>
      <c r="S222" s="167"/>
      <c r="T222" s="169"/>
    </row>
    <row r="223" spans="1:20" ht="15" customHeight="1">
      <c r="A223" s="88"/>
      <c r="B223" s="89"/>
      <c r="C223" s="90"/>
      <c r="D223" s="89"/>
      <c r="E223" s="565" t="s">
        <v>759</v>
      </c>
      <c r="F223" s="566"/>
      <c r="G223" s="567"/>
      <c r="H223" s="565"/>
      <c r="I223" s="565"/>
      <c r="J223" s="565"/>
      <c r="K223" s="565"/>
      <c r="L223" s="568"/>
      <c r="M223" s="565"/>
      <c r="N223" s="569"/>
      <c r="O223" s="569"/>
      <c r="P223" s="565"/>
      <c r="Q223" s="188">
        <f>P225+P228</f>
        <v>3880000</v>
      </c>
      <c r="R223" s="188">
        <v>3640000</v>
      </c>
      <c r="S223" s="188">
        <f>Q223-R223</f>
        <v>240000</v>
      </c>
      <c r="T223" s="570">
        <f t="shared" si="8"/>
        <v>6.5934065934065936E-2</v>
      </c>
    </row>
    <row r="224" spans="1:20" ht="15" customHeight="1">
      <c r="A224" s="88"/>
      <c r="B224" s="89"/>
      <c r="C224" s="90"/>
      <c r="D224" s="89"/>
      <c r="E224" s="90"/>
      <c r="F224" s="96" t="s">
        <v>760</v>
      </c>
      <c r="G224" s="123"/>
      <c r="H224" s="106"/>
      <c r="I224" s="106"/>
      <c r="J224" s="106"/>
      <c r="K224" s="106"/>
      <c r="L224" s="124"/>
      <c r="M224" s="106"/>
      <c r="N224" s="110"/>
      <c r="O224" s="110"/>
      <c r="P224" s="938"/>
      <c r="Q224" s="112"/>
      <c r="R224" s="131"/>
      <c r="S224" s="112"/>
      <c r="T224" s="113"/>
    </row>
    <row r="225" spans="1:26" ht="15" customHeight="1">
      <c r="A225" s="88"/>
      <c r="B225" s="89"/>
      <c r="C225" s="90"/>
      <c r="D225" s="89"/>
      <c r="E225" s="122"/>
      <c r="F225" s="126" t="s">
        <v>761</v>
      </c>
      <c r="G225" s="121"/>
      <c r="H225" s="106"/>
      <c r="I225" s="108"/>
      <c r="J225" s="106"/>
      <c r="K225" s="108"/>
      <c r="L225" s="109"/>
      <c r="M225" s="108"/>
      <c r="N225" s="110"/>
      <c r="O225" s="110"/>
      <c r="P225" s="938">
        <f>SUM(P226:P227)</f>
        <v>3000000</v>
      </c>
      <c r="Q225" s="112"/>
      <c r="R225" s="131"/>
      <c r="S225" s="112"/>
      <c r="T225" s="113"/>
    </row>
    <row r="226" spans="1:26" ht="15" customHeight="1">
      <c r="A226" s="88"/>
      <c r="B226" s="89"/>
      <c r="C226" s="90"/>
      <c r="D226" s="89"/>
      <c r="E226" s="122"/>
      <c r="F226" s="1514" t="s">
        <v>762</v>
      </c>
      <c r="G226" s="1512">
        <v>150000</v>
      </c>
      <c r="H226" s="106" t="s">
        <v>636</v>
      </c>
      <c r="I226" s="1515">
        <v>1</v>
      </c>
      <c r="J226" s="115" t="s">
        <v>636</v>
      </c>
      <c r="K226" s="1516">
        <v>12</v>
      </c>
      <c r="L226" s="1517"/>
      <c r="M226" s="1516"/>
      <c r="N226" s="117"/>
      <c r="O226" s="117" t="s">
        <v>638</v>
      </c>
      <c r="P226" s="1518">
        <f>G226*I226*K226</f>
        <v>1800000</v>
      </c>
      <c r="Q226" s="112"/>
      <c r="R226" s="131"/>
      <c r="S226" s="112"/>
      <c r="T226" s="113"/>
      <c r="Z226" s="939"/>
    </row>
    <row r="227" spans="1:26" ht="15" customHeight="1">
      <c r="A227" s="88"/>
      <c r="B227" s="89"/>
      <c r="C227" s="90"/>
      <c r="D227" s="89"/>
      <c r="E227" s="122"/>
      <c r="F227" s="1514" t="s">
        <v>763</v>
      </c>
      <c r="G227" s="1512">
        <v>100000</v>
      </c>
      <c r="H227" s="106" t="s">
        <v>277</v>
      </c>
      <c r="I227" s="1515">
        <v>1</v>
      </c>
      <c r="J227" s="115" t="s">
        <v>277</v>
      </c>
      <c r="K227" s="1516">
        <v>12</v>
      </c>
      <c r="L227" s="1517"/>
      <c r="M227" s="1516"/>
      <c r="N227" s="117"/>
      <c r="O227" s="117" t="s">
        <v>283</v>
      </c>
      <c r="P227" s="1518">
        <f>G227*I227*K227</f>
        <v>1200000</v>
      </c>
      <c r="Q227" s="112"/>
      <c r="R227" s="131"/>
      <c r="S227" s="112"/>
      <c r="T227" s="113"/>
    </row>
    <row r="228" spans="1:26" ht="15" customHeight="1">
      <c r="A228" s="88"/>
      <c r="B228" s="89"/>
      <c r="C228" s="90"/>
      <c r="D228" s="89"/>
      <c r="E228" s="122"/>
      <c r="F228" s="126" t="s">
        <v>764</v>
      </c>
      <c r="G228" s="123">
        <v>80000</v>
      </c>
      <c r="H228" s="106" t="s">
        <v>277</v>
      </c>
      <c r="I228" s="107">
        <v>11</v>
      </c>
      <c r="J228" s="106"/>
      <c r="K228" s="108"/>
      <c r="L228" s="109"/>
      <c r="M228" s="108"/>
      <c r="N228" s="110"/>
      <c r="O228" s="110" t="s">
        <v>638</v>
      </c>
      <c r="P228" s="111">
        <f>ROUNDUP(G228*I228,-3)</f>
        <v>880000</v>
      </c>
      <c r="Q228" s="112"/>
      <c r="R228" s="131"/>
      <c r="S228" s="112"/>
      <c r="T228" s="113"/>
    </row>
    <row r="229" spans="1:26" ht="15" customHeight="1">
      <c r="A229" s="88"/>
      <c r="B229" s="89"/>
      <c r="C229" s="90"/>
      <c r="D229" s="89"/>
      <c r="E229" s="510" t="s">
        <v>765</v>
      </c>
      <c r="F229" s="515"/>
      <c r="G229" s="511"/>
      <c r="H229" s="510"/>
      <c r="I229" s="510"/>
      <c r="J229" s="510"/>
      <c r="K229" s="510"/>
      <c r="L229" s="512"/>
      <c r="M229" s="510"/>
      <c r="N229" s="513"/>
      <c r="O229" s="513"/>
      <c r="P229" s="510"/>
      <c r="Q229" s="171">
        <f>SUM(P230,P232)</f>
        <v>6300000</v>
      </c>
      <c r="R229" s="171">
        <v>8400000</v>
      </c>
      <c r="S229" s="171">
        <f>Q229-R229</f>
        <v>-2100000</v>
      </c>
      <c r="T229" s="172">
        <f t="shared" ref="T229:T253" si="10">S229/R229</f>
        <v>-0.25</v>
      </c>
    </row>
    <row r="230" spans="1:26" ht="15" customHeight="1">
      <c r="A230" s="88"/>
      <c r="B230" s="89"/>
      <c r="C230" s="90"/>
      <c r="D230" s="89"/>
      <c r="E230" s="90"/>
      <c r="F230" s="96" t="s">
        <v>766</v>
      </c>
      <c r="G230" s="123"/>
      <c r="H230" s="106"/>
      <c r="I230" s="106"/>
      <c r="J230" s="106"/>
      <c r="K230" s="106"/>
      <c r="L230" s="124"/>
      <c r="M230" s="106"/>
      <c r="N230" s="110"/>
      <c r="O230" s="110"/>
      <c r="P230" s="938">
        <f>SUM(P231:P231)</f>
        <v>3300000</v>
      </c>
      <c r="Q230" s="112"/>
      <c r="R230" s="131"/>
      <c r="S230" s="112"/>
      <c r="T230" s="113"/>
    </row>
    <row r="231" spans="1:26" ht="15" customHeight="1">
      <c r="A231" s="88"/>
      <c r="B231" s="89"/>
      <c r="C231" s="90"/>
      <c r="D231" s="89"/>
      <c r="E231" s="122"/>
      <c r="F231" s="126" t="s">
        <v>767</v>
      </c>
      <c r="G231" s="121">
        <v>300000</v>
      </c>
      <c r="H231" s="106" t="s">
        <v>636</v>
      </c>
      <c r="I231" s="107">
        <v>11</v>
      </c>
      <c r="J231" s="106"/>
      <c r="K231" s="108"/>
      <c r="L231" s="109"/>
      <c r="M231" s="108"/>
      <c r="N231" s="110"/>
      <c r="O231" s="110" t="s">
        <v>638</v>
      </c>
      <c r="P231" s="111">
        <f>ROUNDUP(G231*I231,-3)</f>
        <v>3300000</v>
      </c>
      <c r="Q231" s="112"/>
      <c r="R231" s="131"/>
      <c r="S231" s="112"/>
      <c r="T231" s="113"/>
    </row>
    <row r="232" spans="1:26" ht="15" customHeight="1">
      <c r="A232" s="88"/>
      <c r="B232" s="89"/>
      <c r="C232" s="90"/>
      <c r="D232" s="89"/>
      <c r="E232" s="90"/>
      <c r="F232" s="96" t="s">
        <v>768</v>
      </c>
      <c r="G232" s="123"/>
      <c r="H232" s="106"/>
      <c r="I232" s="106"/>
      <c r="J232" s="106"/>
      <c r="K232" s="106"/>
      <c r="L232" s="124"/>
      <c r="M232" s="106"/>
      <c r="N232" s="110"/>
      <c r="O232" s="110"/>
      <c r="P232" s="938">
        <f>SUM(P233:P233)</f>
        <v>3000000</v>
      </c>
      <c r="Q232" s="112"/>
      <c r="R232" s="131"/>
      <c r="S232" s="112"/>
      <c r="T232" s="113"/>
    </row>
    <row r="233" spans="1:26" ht="15" customHeight="1">
      <c r="A233" s="88"/>
      <c r="B233" s="89"/>
      <c r="C233" s="90"/>
      <c r="D233" s="89"/>
      <c r="E233" s="122"/>
      <c r="F233" s="126" t="s">
        <v>769</v>
      </c>
      <c r="G233" s="121">
        <v>1500000</v>
      </c>
      <c r="H233" s="106" t="s">
        <v>636</v>
      </c>
      <c r="I233" s="142">
        <v>2</v>
      </c>
      <c r="J233" s="106"/>
      <c r="K233" s="108"/>
      <c r="L233" s="109"/>
      <c r="M233" s="108"/>
      <c r="N233" s="110"/>
      <c r="O233" s="110" t="s">
        <v>638</v>
      </c>
      <c r="P233" s="111">
        <f>ROUNDUP(G233*I233,-3)</f>
        <v>3000000</v>
      </c>
      <c r="Q233" s="112"/>
      <c r="R233" s="131"/>
      <c r="S233" s="112"/>
      <c r="T233" s="113"/>
    </row>
    <row r="234" spans="1:26" ht="15" customHeight="1">
      <c r="A234" s="88"/>
      <c r="B234" s="89"/>
      <c r="C234" s="90"/>
      <c r="D234" s="89"/>
      <c r="E234" s="510" t="s">
        <v>425</v>
      </c>
      <c r="F234" s="515"/>
      <c r="G234" s="511"/>
      <c r="H234" s="510"/>
      <c r="I234" s="510"/>
      <c r="J234" s="510"/>
      <c r="K234" s="510"/>
      <c r="L234" s="512"/>
      <c r="M234" s="510"/>
      <c r="N234" s="513"/>
      <c r="O234" s="513"/>
      <c r="P234" s="510"/>
      <c r="Q234" s="171">
        <f>+P235</f>
        <v>3200000</v>
      </c>
      <c r="R234" s="171">
        <v>1400000</v>
      </c>
      <c r="S234" s="171">
        <f>Q234-R234</f>
        <v>1800000</v>
      </c>
      <c r="T234" s="172">
        <f t="shared" si="10"/>
        <v>1.2857142857142858</v>
      </c>
    </row>
    <row r="235" spans="1:26" ht="15" customHeight="1">
      <c r="A235" s="88"/>
      <c r="B235" s="89"/>
      <c r="C235" s="90"/>
      <c r="D235" s="89"/>
      <c r="E235" s="90"/>
      <c r="F235" s="96" t="s">
        <v>426</v>
      </c>
      <c r="G235" s="123"/>
      <c r="H235" s="106"/>
      <c r="I235" s="106"/>
      <c r="J235" s="106"/>
      <c r="K235" s="106"/>
      <c r="L235" s="124"/>
      <c r="M235" s="106"/>
      <c r="N235" s="110"/>
      <c r="O235" s="110"/>
      <c r="P235" s="938">
        <f>SUM(P236:P238)</f>
        <v>3200000</v>
      </c>
      <c r="Q235" s="112"/>
      <c r="R235" s="131"/>
      <c r="S235" s="112"/>
      <c r="T235" s="113"/>
    </row>
    <row r="236" spans="1:26" ht="15" customHeight="1">
      <c r="A236" s="88"/>
      <c r="B236" s="89"/>
      <c r="C236" s="90"/>
      <c r="D236" s="89"/>
      <c r="E236" s="122"/>
      <c r="F236" s="104" t="s">
        <v>770</v>
      </c>
      <c r="G236" s="121">
        <v>300000</v>
      </c>
      <c r="H236" s="106" t="s">
        <v>273</v>
      </c>
      <c r="I236" s="143">
        <v>10</v>
      </c>
      <c r="J236" s="106"/>
      <c r="K236" s="108"/>
      <c r="L236" s="109"/>
      <c r="M236" s="108"/>
      <c r="N236" s="110"/>
      <c r="O236" s="110" t="s">
        <v>638</v>
      </c>
      <c r="P236" s="111">
        <f>ROUNDUP(G236*I236,-3)</f>
        <v>3000000</v>
      </c>
      <c r="Q236" s="112"/>
      <c r="R236" s="131"/>
      <c r="S236" s="112"/>
      <c r="T236" s="113"/>
    </row>
    <row r="237" spans="1:26" ht="15" customHeight="1">
      <c r="A237" s="88"/>
      <c r="B237" s="89"/>
      <c r="C237" s="90"/>
      <c r="D237" s="89"/>
      <c r="E237" s="103"/>
      <c r="F237" s="104" t="s">
        <v>771</v>
      </c>
      <c r="G237" s="123">
        <v>40000</v>
      </c>
      <c r="H237" s="106" t="s">
        <v>636</v>
      </c>
      <c r="I237" s="143">
        <v>5</v>
      </c>
      <c r="J237" s="106"/>
      <c r="K237" s="108"/>
      <c r="L237" s="109"/>
      <c r="M237" s="108"/>
      <c r="N237" s="110"/>
      <c r="O237" s="110" t="s">
        <v>283</v>
      </c>
      <c r="P237" s="111">
        <f>ROUNDUP(G237*I237,-3)</f>
        <v>200000</v>
      </c>
      <c r="Q237" s="112"/>
      <c r="R237" s="131"/>
      <c r="S237" s="112"/>
      <c r="T237" s="113"/>
    </row>
    <row r="238" spans="1:26" ht="15" customHeight="1">
      <c r="A238" s="88"/>
      <c r="B238" s="89"/>
      <c r="C238" s="90"/>
      <c r="D238" s="89"/>
      <c r="E238" s="510" t="s">
        <v>772</v>
      </c>
      <c r="F238" s="515"/>
      <c r="G238" s="511"/>
      <c r="H238" s="510"/>
      <c r="I238" s="510"/>
      <c r="J238" s="510"/>
      <c r="K238" s="510"/>
      <c r="L238" s="512"/>
      <c r="M238" s="510"/>
      <c r="N238" s="513"/>
      <c r="O238" s="513"/>
      <c r="P238" s="510"/>
      <c r="Q238" s="171">
        <f>+P239</f>
        <v>243700000</v>
      </c>
      <c r="R238" s="171">
        <v>237000000</v>
      </c>
      <c r="S238" s="171">
        <f>Q238-R238</f>
        <v>6700000</v>
      </c>
      <c r="T238" s="172">
        <f t="shared" si="10"/>
        <v>2.8270042194092827E-2</v>
      </c>
      <c r="W238" s="945"/>
    </row>
    <row r="239" spans="1:26" ht="15" customHeight="1">
      <c r="A239" s="88"/>
      <c r="B239" s="89"/>
      <c r="C239" s="90"/>
      <c r="D239" s="89"/>
      <c r="E239" s="90"/>
      <c r="F239" s="96" t="s">
        <v>773</v>
      </c>
      <c r="G239" s="123"/>
      <c r="H239" s="106"/>
      <c r="I239" s="106"/>
      <c r="J239" s="106"/>
      <c r="K239" s="106"/>
      <c r="L239" s="124"/>
      <c r="M239" s="106"/>
      <c r="N239" s="110"/>
      <c r="O239" s="110"/>
      <c r="P239" s="938">
        <f>SUM(P240:P246)</f>
        <v>243700000</v>
      </c>
      <c r="Q239" s="112"/>
      <c r="R239" s="131"/>
      <c r="S239" s="112"/>
      <c r="T239" s="113"/>
    </row>
    <row r="240" spans="1:26" ht="15" customHeight="1">
      <c r="A240" s="88"/>
      <c r="B240" s="89"/>
      <c r="C240" s="90"/>
      <c r="D240" s="89"/>
      <c r="E240" s="122"/>
      <c r="F240" s="96" t="s">
        <v>774</v>
      </c>
      <c r="G240" s="121">
        <v>18000000</v>
      </c>
      <c r="H240" s="106" t="s">
        <v>277</v>
      </c>
      <c r="I240" s="108">
        <v>12</v>
      </c>
      <c r="J240" s="106"/>
      <c r="K240" s="108"/>
      <c r="L240" s="109"/>
      <c r="M240" s="108"/>
      <c r="N240" s="110"/>
      <c r="O240" s="110" t="s">
        <v>281</v>
      </c>
      <c r="P240" s="111">
        <f t="shared" ref="P240:P246" si="11">ROUNDUP(G240*I240,-3)</f>
        <v>216000000</v>
      </c>
      <c r="Q240" s="112"/>
      <c r="R240" s="131"/>
      <c r="S240" s="112"/>
      <c r="T240" s="113"/>
    </row>
    <row r="241" spans="1:24" ht="15" customHeight="1">
      <c r="A241" s="88"/>
      <c r="B241" s="89"/>
      <c r="C241" s="90"/>
      <c r="D241" s="89"/>
      <c r="E241" s="122"/>
      <c r="F241" s="96" t="s">
        <v>775</v>
      </c>
      <c r="G241" s="121">
        <v>1500000</v>
      </c>
      <c r="H241" s="106" t="s">
        <v>282</v>
      </c>
      <c r="I241" s="142">
        <v>1</v>
      </c>
      <c r="J241" s="106"/>
      <c r="K241" s="108"/>
      <c r="L241" s="109"/>
      <c r="M241" s="108"/>
      <c r="N241" s="110"/>
      <c r="O241" s="110" t="s">
        <v>281</v>
      </c>
      <c r="P241" s="111">
        <f t="shared" si="11"/>
        <v>1500000</v>
      </c>
      <c r="Q241" s="112"/>
      <c r="R241" s="131"/>
      <c r="S241" s="112"/>
      <c r="T241" s="113"/>
    </row>
    <row r="242" spans="1:24" ht="15" customHeight="1">
      <c r="A242" s="88"/>
      <c r="B242" s="89"/>
      <c r="C242" s="90"/>
      <c r="D242" s="89"/>
      <c r="E242" s="122"/>
      <c r="F242" s="96" t="s">
        <v>459</v>
      </c>
      <c r="G242" s="121">
        <v>500000</v>
      </c>
      <c r="H242" s="106" t="s">
        <v>282</v>
      </c>
      <c r="I242" s="142">
        <v>2</v>
      </c>
      <c r="J242" s="106"/>
      <c r="K242" s="108"/>
      <c r="L242" s="109"/>
      <c r="M242" s="108"/>
      <c r="N242" s="110"/>
      <c r="O242" s="110" t="s">
        <v>281</v>
      </c>
      <c r="P242" s="111">
        <f t="shared" si="11"/>
        <v>1000000</v>
      </c>
      <c r="Q242" s="112"/>
      <c r="R242" s="131"/>
      <c r="S242" s="112"/>
      <c r="T242" s="113"/>
      <c r="W242" s="945">
        <f>Q238+Q247+Q253+Q265</f>
        <v>431350000</v>
      </c>
      <c r="X242" s="945">
        <f>R238+R247+R253+R265</f>
        <v>421960000</v>
      </c>
    </row>
    <row r="243" spans="1:24" ht="15" customHeight="1">
      <c r="A243" s="88"/>
      <c r="B243" s="89"/>
      <c r="C243" s="90"/>
      <c r="D243" s="89"/>
      <c r="E243" s="122"/>
      <c r="F243" s="96" t="s">
        <v>2543</v>
      </c>
      <c r="G243" s="121">
        <v>400000</v>
      </c>
      <c r="H243" s="106" t="s">
        <v>282</v>
      </c>
      <c r="I243" s="108">
        <v>12</v>
      </c>
      <c r="J243" s="106"/>
      <c r="K243" s="108"/>
      <c r="L243" s="109"/>
      <c r="M243" s="108"/>
      <c r="N243" s="110"/>
      <c r="O243" s="110" t="s">
        <v>281</v>
      </c>
      <c r="P243" s="111">
        <f t="shared" si="11"/>
        <v>4800000</v>
      </c>
      <c r="Q243" s="112"/>
      <c r="R243" s="131"/>
      <c r="S243" s="112"/>
      <c r="T243" s="113"/>
    </row>
    <row r="244" spans="1:24" ht="15" customHeight="1">
      <c r="A244" s="88"/>
      <c r="B244" s="89"/>
      <c r="C244" s="90"/>
      <c r="D244" s="89"/>
      <c r="E244" s="122"/>
      <c r="F244" s="96" t="s">
        <v>776</v>
      </c>
      <c r="G244" s="121">
        <v>300000</v>
      </c>
      <c r="H244" s="106" t="s">
        <v>282</v>
      </c>
      <c r="I244" s="108">
        <v>12</v>
      </c>
      <c r="J244" s="106"/>
      <c r="K244" s="108"/>
      <c r="L244" s="109"/>
      <c r="M244" s="108"/>
      <c r="N244" s="110"/>
      <c r="O244" s="110" t="s">
        <v>281</v>
      </c>
      <c r="P244" s="111">
        <f t="shared" si="11"/>
        <v>3600000</v>
      </c>
      <c r="Q244" s="112"/>
      <c r="R244" s="131"/>
      <c r="S244" s="112"/>
      <c r="T244" s="113"/>
    </row>
    <row r="245" spans="1:24" ht="15" customHeight="1">
      <c r="A245" s="88"/>
      <c r="B245" s="89"/>
      <c r="C245" s="90"/>
      <c r="D245" s="89"/>
      <c r="E245" s="122"/>
      <c r="F245" s="96" t="s">
        <v>777</v>
      </c>
      <c r="G245" s="121">
        <v>400000000</v>
      </c>
      <c r="H245" s="106" t="s">
        <v>282</v>
      </c>
      <c r="I245" s="1519">
        <v>2.7E-2</v>
      </c>
      <c r="J245" s="106"/>
      <c r="K245" s="108"/>
      <c r="L245" s="109"/>
      <c r="M245" s="108"/>
      <c r="N245" s="110"/>
      <c r="O245" s="110" t="s">
        <v>281</v>
      </c>
      <c r="P245" s="111">
        <f t="shared" si="11"/>
        <v>10800000</v>
      </c>
      <c r="Q245" s="112"/>
      <c r="R245" s="131"/>
      <c r="S245" s="112"/>
      <c r="T245" s="113"/>
      <c r="V245" s="945"/>
    </row>
    <row r="246" spans="1:24" ht="15" customHeight="1">
      <c r="A246" s="88"/>
      <c r="B246" s="89"/>
      <c r="C246" s="90"/>
      <c r="D246" s="89"/>
      <c r="E246" s="122"/>
      <c r="F246" s="96" t="s">
        <v>778</v>
      </c>
      <c r="G246" s="121">
        <v>500000</v>
      </c>
      <c r="H246" s="106" t="s">
        <v>277</v>
      </c>
      <c r="I246" s="108">
        <v>12</v>
      </c>
      <c r="J246" s="106"/>
      <c r="K246" s="108"/>
      <c r="L246" s="109"/>
      <c r="M246" s="108"/>
      <c r="N246" s="110"/>
      <c r="O246" s="110" t="s">
        <v>281</v>
      </c>
      <c r="P246" s="111">
        <f t="shared" si="11"/>
        <v>6000000</v>
      </c>
      <c r="Q246" s="112"/>
      <c r="R246" s="131"/>
      <c r="S246" s="112"/>
      <c r="T246" s="113"/>
    </row>
    <row r="247" spans="1:24" ht="15" customHeight="1">
      <c r="A247" s="88"/>
      <c r="B247" s="89"/>
      <c r="C247" s="90"/>
      <c r="D247" s="89"/>
      <c r="E247" s="510" t="s">
        <v>779</v>
      </c>
      <c r="F247" s="515"/>
      <c r="G247" s="511"/>
      <c r="H247" s="510"/>
      <c r="I247" s="510"/>
      <c r="J247" s="510"/>
      <c r="K247" s="510"/>
      <c r="L247" s="512"/>
      <c r="M247" s="510"/>
      <c r="N247" s="513"/>
      <c r="O247" s="513"/>
      <c r="P247" s="510"/>
      <c r="Q247" s="171">
        <f>+P248</f>
        <v>29400000</v>
      </c>
      <c r="R247" s="171">
        <v>27000000</v>
      </c>
      <c r="S247" s="171">
        <f>Q247-R247</f>
        <v>2400000</v>
      </c>
      <c r="T247" s="172">
        <f t="shared" si="10"/>
        <v>8.8888888888888892E-2</v>
      </c>
    </row>
    <row r="248" spans="1:24" ht="15" customHeight="1">
      <c r="A248" s="88"/>
      <c r="B248" s="89"/>
      <c r="C248" s="90"/>
      <c r="D248" s="89"/>
      <c r="E248" s="90"/>
      <c r="F248" s="96" t="s">
        <v>460</v>
      </c>
      <c r="G248" s="123"/>
      <c r="H248" s="106"/>
      <c r="I248" s="106"/>
      <c r="J248" s="106"/>
      <c r="K248" s="106"/>
      <c r="L248" s="124"/>
      <c r="M248" s="106"/>
      <c r="N248" s="110"/>
      <c r="O248" s="110"/>
      <c r="P248" s="938">
        <f>SUM(P249:P252)</f>
        <v>29400000</v>
      </c>
      <c r="Q248" s="112"/>
      <c r="R248" s="131"/>
      <c r="S248" s="112"/>
      <c r="T248" s="113"/>
    </row>
    <row r="249" spans="1:24" ht="15" customHeight="1">
      <c r="A249" s="88"/>
      <c r="B249" s="89"/>
      <c r="C249" s="90"/>
      <c r="D249" s="89"/>
      <c r="E249" s="122"/>
      <c r="F249" s="96" t="s">
        <v>780</v>
      </c>
      <c r="G249" s="121">
        <v>2000000</v>
      </c>
      <c r="H249" s="106" t="s">
        <v>282</v>
      </c>
      <c r="I249" s="108">
        <v>12</v>
      </c>
      <c r="J249" s="106"/>
      <c r="K249" s="108"/>
      <c r="L249" s="109"/>
      <c r="M249" s="108"/>
      <c r="N249" s="110"/>
      <c r="O249" s="110" t="s">
        <v>281</v>
      </c>
      <c r="P249" s="111">
        <f>ROUNDUP(G249*I249,-3)</f>
        <v>24000000</v>
      </c>
      <c r="Q249" s="112"/>
      <c r="R249" s="131"/>
      <c r="S249" s="112"/>
      <c r="T249" s="113"/>
    </row>
    <row r="250" spans="1:24" ht="15" customHeight="1">
      <c r="A250" s="88"/>
      <c r="B250" s="89"/>
      <c r="C250" s="90"/>
      <c r="D250" s="89"/>
      <c r="E250" s="122"/>
      <c r="F250" s="96" t="s">
        <v>781</v>
      </c>
      <c r="G250" s="121">
        <v>200000</v>
      </c>
      <c r="H250" s="106" t="s">
        <v>277</v>
      </c>
      <c r="I250" s="108">
        <v>12</v>
      </c>
      <c r="J250" s="106"/>
      <c r="K250" s="108"/>
      <c r="L250" s="109"/>
      <c r="M250" s="108"/>
      <c r="N250" s="110"/>
      <c r="O250" s="110" t="s">
        <v>281</v>
      </c>
      <c r="P250" s="111">
        <f>ROUNDUP(G250*I250,-3)</f>
        <v>2400000</v>
      </c>
      <c r="Q250" s="112"/>
      <c r="R250" s="131"/>
      <c r="S250" s="112"/>
      <c r="T250" s="113"/>
    </row>
    <row r="251" spans="1:24" ht="15" customHeight="1">
      <c r="A251" s="88"/>
      <c r="B251" s="89"/>
      <c r="C251" s="90"/>
      <c r="D251" s="89"/>
      <c r="E251" s="122"/>
      <c r="F251" s="96" t="s">
        <v>782</v>
      </c>
      <c r="G251" s="121">
        <v>200000</v>
      </c>
      <c r="H251" s="106" t="s">
        <v>277</v>
      </c>
      <c r="I251" s="108">
        <v>6</v>
      </c>
      <c r="J251" s="106"/>
      <c r="K251" s="108"/>
      <c r="L251" s="109"/>
      <c r="M251" s="108"/>
      <c r="N251" s="110"/>
      <c r="O251" s="110" t="s">
        <v>281</v>
      </c>
      <c r="P251" s="111">
        <f>ROUNDUP(G251*I251,-3)</f>
        <v>1200000</v>
      </c>
      <c r="Q251" s="112"/>
      <c r="R251" s="131"/>
      <c r="S251" s="112"/>
      <c r="T251" s="113"/>
    </row>
    <row r="252" spans="1:24" ht="15" customHeight="1">
      <c r="A252" s="88"/>
      <c r="B252" s="89"/>
      <c r="C252" s="90"/>
      <c r="D252" s="89"/>
      <c r="E252" s="122"/>
      <c r="F252" s="96" t="s">
        <v>461</v>
      </c>
      <c r="G252" s="121">
        <v>900000</v>
      </c>
      <c r="H252" s="106" t="s">
        <v>282</v>
      </c>
      <c r="I252" s="108">
        <v>2</v>
      </c>
      <c r="J252" s="106"/>
      <c r="K252" s="108"/>
      <c r="L252" s="109"/>
      <c r="M252" s="108"/>
      <c r="N252" s="110"/>
      <c r="O252" s="110" t="s">
        <v>281</v>
      </c>
      <c r="P252" s="111">
        <f>ROUNDUP(G252*I252,-3)</f>
        <v>1800000</v>
      </c>
      <c r="Q252" s="112"/>
      <c r="R252" s="131"/>
      <c r="S252" s="112"/>
      <c r="T252" s="113"/>
    </row>
    <row r="253" spans="1:24" ht="15" customHeight="1">
      <c r="A253" s="88"/>
      <c r="B253" s="89"/>
      <c r="C253" s="90"/>
      <c r="D253" s="89"/>
      <c r="E253" s="510" t="s">
        <v>462</v>
      </c>
      <c r="F253" s="515"/>
      <c r="G253" s="511"/>
      <c r="H253" s="510"/>
      <c r="I253" s="510"/>
      <c r="J253" s="510"/>
      <c r="K253" s="510"/>
      <c r="L253" s="512"/>
      <c r="M253" s="510"/>
      <c r="N253" s="513"/>
      <c r="O253" s="513"/>
      <c r="P253" s="510"/>
      <c r="Q253" s="171">
        <f>SUM(P254,P256,P260,P263)</f>
        <v>148750000</v>
      </c>
      <c r="R253" s="171">
        <v>145260000</v>
      </c>
      <c r="S253" s="171">
        <f>Q253-R253</f>
        <v>3490000</v>
      </c>
      <c r="T253" s="172">
        <f t="shared" si="10"/>
        <v>2.4025884620680161E-2</v>
      </c>
    </row>
    <row r="254" spans="1:24" s="915" customFormat="1" ht="15" customHeight="1">
      <c r="A254" s="78"/>
      <c r="B254" s="81"/>
      <c r="C254" s="82"/>
      <c r="D254" s="81"/>
      <c r="E254" s="90"/>
      <c r="F254" s="96" t="s">
        <v>463</v>
      </c>
      <c r="G254" s="123"/>
      <c r="H254" s="106"/>
      <c r="I254" s="1520"/>
      <c r="J254" s="106"/>
      <c r="K254" s="106"/>
      <c r="L254" s="124"/>
      <c r="M254" s="106"/>
      <c r="N254" s="110"/>
      <c r="O254" s="110"/>
      <c r="P254" s="938">
        <f>P255</f>
        <v>5000000</v>
      </c>
      <c r="Q254" s="1499"/>
      <c r="R254" s="1500"/>
      <c r="S254" s="1499"/>
      <c r="T254" s="1501"/>
    </row>
    <row r="255" spans="1:24" ht="15" customHeight="1">
      <c r="A255" s="88"/>
      <c r="B255" s="89"/>
      <c r="C255" s="90"/>
      <c r="D255" s="89"/>
      <c r="E255" s="90"/>
      <c r="F255" s="104" t="s">
        <v>464</v>
      </c>
      <c r="G255" s="123">
        <v>1000000</v>
      </c>
      <c r="H255" s="106" t="s">
        <v>277</v>
      </c>
      <c r="I255" s="1497">
        <v>5</v>
      </c>
      <c r="J255" s="106"/>
      <c r="K255" s="106"/>
      <c r="L255" s="124"/>
      <c r="M255" s="106"/>
      <c r="N255" s="110"/>
      <c r="O255" s="110" t="s">
        <v>281</v>
      </c>
      <c r="P255" s="123">
        <f>G255*I255</f>
        <v>5000000</v>
      </c>
      <c r="Q255" s="112"/>
      <c r="R255" s="131"/>
      <c r="S255" s="112"/>
      <c r="T255" s="113"/>
    </row>
    <row r="256" spans="1:24" s="915" customFormat="1" ht="15" customHeight="1">
      <c r="A256" s="78"/>
      <c r="B256" s="81"/>
      <c r="C256" s="82"/>
      <c r="D256" s="81"/>
      <c r="E256" s="122"/>
      <c r="F256" s="96" t="s">
        <v>783</v>
      </c>
      <c r="G256" s="121"/>
      <c r="H256" s="106"/>
      <c r="I256" s="1520"/>
      <c r="J256" s="106"/>
      <c r="K256" s="108"/>
      <c r="L256" s="109"/>
      <c r="M256" s="108"/>
      <c r="N256" s="110"/>
      <c r="O256" s="110"/>
      <c r="P256" s="938">
        <f>P257+P258+P259</f>
        <v>120000000</v>
      </c>
      <c r="Q256" s="1499"/>
      <c r="R256" s="1500"/>
      <c r="S256" s="1499"/>
      <c r="T256" s="1501"/>
    </row>
    <row r="257" spans="1:23" ht="15" customHeight="1">
      <c r="A257" s="88"/>
      <c r="B257" s="89"/>
      <c r="C257" s="90"/>
      <c r="D257" s="89"/>
      <c r="E257" s="122"/>
      <c r="F257" s="104" t="s">
        <v>784</v>
      </c>
      <c r="G257" s="121">
        <v>3700000</v>
      </c>
      <c r="H257" s="106" t="s">
        <v>282</v>
      </c>
      <c r="I257" s="1056">
        <v>30</v>
      </c>
      <c r="J257" s="106"/>
      <c r="K257" s="108"/>
      <c r="L257" s="109"/>
      <c r="M257" s="108"/>
      <c r="N257" s="110"/>
      <c r="O257" s="110" t="s">
        <v>281</v>
      </c>
      <c r="P257" s="111">
        <f>G257*I257</f>
        <v>111000000</v>
      </c>
      <c r="Q257" s="112"/>
      <c r="R257" s="131"/>
      <c r="S257" s="112"/>
      <c r="T257" s="113"/>
    </row>
    <row r="258" spans="1:23" ht="15" customHeight="1">
      <c r="A258" s="88"/>
      <c r="B258" s="89"/>
      <c r="C258" s="90"/>
      <c r="D258" s="89"/>
      <c r="E258" s="122"/>
      <c r="F258" s="104" t="s">
        <v>785</v>
      </c>
      <c r="G258" s="121">
        <v>2000000</v>
      </c>
      <c r="H258" s="106" t="s">
        <v>282</v>
      </c>
      <c r="I258" s="1497">
        <v>1</v>
      </c>
      <c r="J258" s="106"/>
      <c r="K258" s="108"/>
      <c r="L258" s="109"/>
      <c r="M258" s="108"/>
      <c r="N258" s="110"/>
      <c r="O258" s="110" t="s">
        <v>283</v>
      </c>
      <c r="P258" s="111">
        <f t="shared" ref="P258:P259" si="12">G258*I258</f>
        <v>2000000</v>
      </c>
      <c r="Q258" s="112"/>
      <c r="R258" s="131"/>
      <c r="S258" s="112"/>
      <c r="T258" s="113"/>
    </row>
    <row r="259" spans="1:23" ht="15" customHeight="1">
      <c r="A259" s="561"/>
      <c r="B259" s="562"/>
      <c r="C259" s="563"/>
      <c r="D259" s="562"/>
      <c r="E259" s="571"/>
      <c r="F259" s="1521" t="s">
        <v>786</v>
      </c>
      <c r="G259" s="161">
        <v>7000000</v>
      </c>
      <c r="H259" s="162" t="s">
        <v>282</v>
      </c>
      <c r="I259" s="1522">
        <v>1</v>
      </c>
      <c r="J259" s="162"/>
      <c r="K259" s="163"/>
      <c r="L259" s="164"/>
      <c r="M259" s="163"/>
      <c r="N259" s="165"/>
      <c r="O259" s="165" t="s">
        <v>281</v>
      </c>
      <c r="P259" s="166">
        <f t="shared" si="12"/>
        <v>7000000</v>
      </c>
      <c r="Q259" s="167"/>
      <c r="R259" s="168"/>
      <c r="S259" s="167"/>
      <c r="T259" s="169"/>
    </row>
    <row r="260" spans="1:23" s="915" customFormat="1" ht="15" customHeight="1">
      <c r="A260" s="78"/>
      <c r="B260" s="81"/>
      <c r="C260" s="82"/>
      <c r="D260" s="81"/>
      <c r="E260" s="103"/>
      <c r="F260" s="96" t="s">
        <v>338</v>
      </c>
      <c r="G260" s="123"/>
      <c r="H260" s="106"/>
      <c r="I260" s="1520"/>
      <c r="J260" s="106"/>
      <c r="K260" s="108"/>
      <c r="L260" s="109"/>
      <c r="M260" s="108"/>
      <c r="N260" s="110"/>
      <c r="O260" s="110"/>
      <c r="P260" s="938">
        <f>+P261+P262</f>
        <v>13750000</v>
      </c>
      <c r="Q260" s="1499"/>
      <c r="R260" s="1500"/>
      <c r="S260" s="1499"/>
      <c r="T260" s="1501"/>
    </row>
    <row r="261" spans="1:23" ht="15" customHeight="1">
      <c r="A261" s="88"/>
      <c r="B261" s="89"/>
      <c r="C261" s="90"/>
      <c r="D261" s="89"/>
      <c r="E261" s="103"/>
      <c r="F261" s="104" t="s">
        <v>465</v>
      </c>
      <c r="G261" s="123">
        <v>450000</v>
      </c>
      <c r="H261" s="106" t="s">
        <v>277</v>
      </c>
      <c r="I261" s="1056">
        <v>25</v>
      </c>
      <c r="J261" s="106"/>
      <c r="K261" s="108"/>
      <c r="L261" s="109"/>
      <c r="M261" s="108"/>
      <c r="N261" s="110"/>
      <c r="O261" s="110" t="s">
        <v>283</v>
      </c>
      <c r="P261" s="111">
        <f t="shared" ref="P261:P262" si="13">ROUNDUP(G261*I261,-3)</f>
        <v>11250000</v>
      </c>
      <c r="Q261" s="112"/>
      <c r="R261" s="131"/>
      <c r="S261" s="112"/>
      <c r="T261" s="113"/>
    </row>
    <row r="262" spans="1:23" ht="15" customHeight="1">
      <c r="A262" s="88"/>
      <c r="B262" s="89"/>
      <c r="C262" s="90"/>
      <c r="D262" s="89"/>
      <c r="E262" s="103"/>
      <c r="F262" s="104" t="s">
        <v>787</v>
      </c>
      <c r="G262" s="123">
        <v>2500000</v>
      </c>
      <c r="H262" s="106" t="s">
        <v>282</v>
      </c>
      <c r="I262" s="1497">
        <v>1</v>
      </c>
      <c r="J262" s="106"/>
      <c r="K262" s="108"/>
      <c r="L262" s="109"/>
      <c r="M262" s="108"/>
      <c r="N262" s="110"/>
      <c r="O262" s="110" t="s">
        <v>281</v>
      </c>
      <c r="P262" s="111">
        <f t="shared" si="13"/>
        <v>2500000</v>
      </c>
      <c r="Q262" s="112"/>
      <c r="R262" s="131"/>
      <c r="S262" s="112"/>
      <c r="T262" s="113"/>
    </row>
    <row r="263" spans="1:23" s="915" customFormat="1" ht="15" customHeight="1">
      <c r="A263" s="78"/>
      <c r="B263" s="81"/>
      <c r="C263" s="82"/>
      <c r="D263" s="81"/>
      <c r="E263" s="90"/>
      <c r="F263" s="96" t="s">
        <v>466</v>
      </c>
      <c r="G263" s="123"/>
      <c r="H263" s="106"/>
      <c r="I263" s="106"/>
      <c r="J263" s="106"/>
      <c r="K263" s="106"/>
      <c r="L263" s="124"/>
      <c r="M263" s="106"/>
      <c r="N263" s="110"/>
      <c r="O263" s="110"/>
      <c r="P263" s="938">
        <f>P264</f>
        <v>10000000</v>
      </c>
      <c r="Q263" s="1499"/>
      <c r="R263" s="1500"/>
      <c r="S263" s="1499"/>
      <c r="T263" s="1501"/>
    </row>
    <row r="264" spans="1:23" ht="15" customHeight="1">
      <c r="A264" s="88"/>
      <c r="B264" s="89"/>
      <c r="C264" s="90"/>
      <c r="D264" s="89"/>
      <c r="E264" s="90"/>
      <c r="F264" s="104" t="s">
        <v>467</v>
      </c>
      <c r="G264" s="123">
        <v>1000000</v>
      </c>
      <c r="H264" s="106" t="s">
        <v>277</v>
      </c>
      <c r="I264" s="1497">
        <v>10</v>
      </c>
      <c r="J264" s="106"/>
      <c r="K264" s="106"/>
      <c r="L264" s="124"/>
      <c r="M264" s="106"/>
      <c r="N264" s="110"/>
      <c r="O264" s="110" t="s">
        <v>281</v>
      </c>
      <c r="P264" s="123">
        <f>G264*I264</f>
        <v>10000000</v>
      </c>
      <c r="Q264" s="112"/>
      <c r="R264" s="131"/>
      <c r="S264" s="112"/>
      <c r="T264" s="113"/>
    </row>
    <row r="265" spans="1:23" ht="15" customHeight="1">
      <c r="A265" s="88"/>
      <c r="B265" s="89"/>
      <c r="C265" s="90"/>
      <c r="D265" s="89"/>
      <c r="E265" s="510" t="s">
        <v>468</v>
      </c>
      <c r="F265" s="515"/>
      <c r="G265" s="511"/>
      <c r="H265" s="510"/>
      <c r="I265" s="510"/>
      <c r="J265" s="510"/>
      <c r="K265" s="510"/>
      <c r="L265" s="512"/>
      <c r="M265" s="510"/>
      <c r="N265" s="513"/>
      <c r="O265" s="513"/>
      <c r="P265" s="510"/>
      <c r="Q265" s="171">
        <f>+P266</f>
        <v>9500000</v>
      </c>
      <c r="R265" s="171">
        <v>12700000</v>
      </c>
      <c r="S265" s="171">
        <f>Q265-R265</f>
        <v>-3200000</v>
      </c>
      <c r="T265" s="172">
        <f t="shared" ref="T265" si="14">S265/R265</f>
        <v>-0.25196850393700787</v>
      </c>
    </row>
    <row r="266" spans="1:23" s="1468" customFormat="1" ht="15" customHeight="1">
      <c r="A266" s="1523"/>
      <c r="B266" s="1469"/>
      <c r="C266" s="1469"/>
      <c r="D266" s="1469"/>
      <c r="E266" s="1524"/>
      <c r="F266" s="1525" t="s">
        <v>469</v>
      </c>
      <c r="G266" s="1526"/>
      <c r="H266" s="954"/>
      <c r="I266" s="954"/>
      <c r="J266" s="954"/>
      <c r="K266" s="954"/>
      <c r="L266" s="1527"/>
      <c r="M266" s="954"/>
      <c r="N266" s="1528"/>
      <c r="O266" s="1528"/>
      <c r="P266" s="1445">
        <f>SUM(P267:P269)</f>
        <v>9500000</v>
      </c>
      <c r="Q266" s="1529"/>
      <c r="R266" s="1530"/>
      <c r="S266" s="1530"/>
      <c r="T266" s="1531"/>
    </row>
    <row r="267" spans="1:23" s="1468" customFormat="1" ht="15" customHeight="1">
      <c r="A267" s="1523"/>
      <c r="B267" s="1469"/>
      <c r="C267" s="1469"/>
      <c r="D267" s="1469"/>
      <c r="E267" s="958"/>
      <c r="F267" s="104" t="s">
        <v>788</v>
      </c>
      <c r="G267" s="1492">
        <v>100000</v>
      </c>
      <c r="H267" s="967" t="s">
        <v>109</v>
      </c>
      <c r="I267" s="1497">
        <v>1</v>
      </c>
      <c r="J267" s="967"/>
      <c r="K267" s="1532"/>
      <c r="L267" s="1495"/>
      <c r="M267" s="1494"/>
      <c r="N267" s="1480"/>
      <c r="O267" s="1480" t="s">
        <v>110</v>
      </c>
      <c r="P267" s="1484">
        <f>G267*I267</f>
        <v>100000</v>
      </c>
      <c r="Q267" s="1485"/>
      <c r="R267" s="1486"/>
      <c r="S267" s="1486"/>
      <c r="T267" s="1487"/>
    </row>
    <row r="268" spans="1:23" s="1468" customFormat="1" ht="15" customHeight="1">
      <c r="A268" s="1523"/>
      <c r="B268" s="1469"/>
      <c r="C268" s="1469"/>
      <c r="D268" s="1469"/>
      <c r="E268" s="958"/>
      <c r="F268" s="104" t="s">
        <v>789</v>
      </c>
      <c r="G268" s="1492">
        <v>1600000</v>
      </c>
      <c r="H268" s="967" t="s">
        <v>109</v>
      </c>
      <c r="I268" s="1497">
        <v>4</v>
      </c>
      <c r="J268" s="967"/>
      <c r="K268" s="1532"/>
      <c r="L268" s="1495"/>
      <c r="M268" s="1494"/>
      <c r="N268" s="1480"/>
      <c r="O268" s="1480" t="s">
        <v>110</v>
      </c>
      <c r="P268" s="1484">
        <f>G268*I268</f>
        <v>6400000</v>
      </c>
      <c r="Q268" s="1485"/>
      <c r="R268" s="1486"/>
      <c r="S268" s="1486"/>
      <c r="T268" s="1487"/>
    </row>
    <row r="269" spans="1:23" s="1468" customFormat="1" ht="15" customHeight="1">
      <c r="A269" s="1523"/>
      <c r="B269" s="1469"/>
      <c r="C269" s="1469"/>
      <c r="D269" s="1469"/>
      <c r="E269" s="1533"/>
      <c r="F269" s="104" t="s">
        <v>790</v>
      </c>
      <c r="G269" s="1492">
        <v>3000000</v>
      </c>
      <c r="H269" s="967" t="s">
        <v>109</v>
      </c>
      <c r="I269" s="1497">
        <v>1</v>
      </c>
      <c r="J269" s="967"/>
      <c r="K269" s="1532"/>
      <c r="L269" s="1495"/>
      <c r="M269" s="1494"/>
      <c r="N269" s="1480"/>
      <c r="O269" s="1480" t="s">
        <v>110</v>
      </c>
      <c r="P269" s="1484">
        <f>G269*I269</f>
        <v>3000000</v>
      </c>
      <c r="Q269" s="1485"/>
      <c r="R269" s="1486"/>
      <c r="S269" s="1486"/>
      <c r="T269" s="1487"/>
      <c r="U269" s="1534"/>
    </row>
    <row r="270" spans="1:23" s="196" customFormat="1" ht="15" customHeight="1">
      <c r="A270" s="224"/>
      <c r="B270" s="225"/>
      <c r="C270" s="266" t="s">
        <v>1406</v>
      </c>
      <c r="D270" s="214"/>
      <c r="E270" s="214"/>
      <c r="F270" s="215"/>
      <c r="G270" s="216"/>
      <c r="H270" s="217"/>
      <c r="I270" s="217"/>
      <c r="J270" s="217"/>
      <c r="K270" s="217"/>
      <c r="L270" s="218"/>
      <c r="M270" s="217"/>
      <c r="N270" s="219"/>
      <c r="O270" s="219"/>
      <c r="P270" s="217"/>
      <c r="Q270" s="220">
        <f>Q271</f>
        <v>42243000</v>
      </c>
      <c r="R270" s="220">
        <f>R271</f>
        <v>0</v>
      </c>
      <c r="S270" s="220">
        <f>Q270-R270</f>
        <v>42243000</v>
      </c>
      <c r="T270" s="221">
        <v>1</v>
      </c>
      <c r="W270" s="275"/>
    </row>
    <row r="271" spans="1:23" s="196" customFormat="1" ht="15" customHeight="1">
      <c r="A271" s="224"/>
      <c r="B271" s="225"/>
      <c r="C271" s="222"/>
      <c r="D271" s="394" t="s">
        <v>1405</v>
      </c>
      <c r="E271" s="84"/>
      <c r="F271" s="85"/>
      <c r="G271" s="86"/>
      <c r="H271" s="84"/>
      <c r="I271" s="84"/>
      <c r="J271" s="84"/>
      <c r="K271" s="84"/>
      <c r="L271" s="83"/>
      <c r="M271" s="84"/>
      <c r="N271" s="87"/>
      <c r="O271" s="87"/>
      <c r="P271" s="84"/>
      <c r="Q271" s="76">
        <f>Q272</f>
        <v>42243000</v>
      </c>
      <c r="R271" s="76">
        <f>R272</f>
        <v>0</v>
      </c>
      <c r="S271" s="76">
        <f>Q271-R271</f>
        <v>42243000</v>
      </c>
      <c r="T271" s="77">
        <v>1</v>
      </c>
    </row>
    <row r="272" spans="1:23" s="196" customFormat="1" ht="15" customHeight="1">
      <c r="A272" s="224"/>
      <c r="B272" s="225"/>
      <c r="C272" s="222"/>
      <c r="D272" s="222"/>
      <c r="E272" s="66" t="s">
        <v>1643</v>
      </c>
      <c r="F272" s="227"/>
      <c r="G272" s="228"/>
      <c r="H272" s="66"/>
      <c r="I272" s="66"/>
      <c r="J272" s="66"/>
      <c r="K272" s="66"/>
      <c r="L272" s="229"/>
      <c r="M272" s="66"/>
      <c r="N272" s="230"/>
      <c r="O272" s="230"/>
      <c r="P272" s="66"/>
      <c r="Q272" s="171">
        <f>ROUNDUP(P273+P275,-3)</f>
        <v>42243000</v>
      </c>
      <c r="R272" s="171">
        <v>0</v>
      </c>
      <c r="S272" s="171">
        <f>Q272-R272</f>
        <v>42243000</v>
      </c>
      <c r="T272" s="172">
        <v>1</v>
      </c>
    </row>
    <row r="273" spans="1:27" s="196" customFormat="1" ht="15" customHeight="1">
      <c r="A273" s="224"/>
      <c r="B273" s="225"/>
      <c r="C273" s="222"/>
      <c r="D273" s="222"/>
      <c r="E273" s="1037"/>
      <c r="F273" s="240" t="s">
        <v>1640</v>
      </c>
      <c r="G273" s="249"/>
      <c r="H273" s="240"/>
      <c r="I273" s="240"/>
      <c r="J273" s="240"/>
      <c r="K273" s="240"/>
      <c r="L273" s="240"/>
      <c r="M273" s="240"/>
      <c r="N273" s="244"/>
      <c r="O273" s="251"/>
      <c r="P273" s="251">
        <f>P274</f>
        <v>200000</v>
      </c>
      <c r="Q273" s="428"/>
      <c r="R273" s="428"/>
      <c r="S273" s="428"/>
      <c r="T273" s="429"/>
    </row>
    <row r="274" spans="1:27" s="196" customFormat="1" ht="15" customHeight="1">
      <c r="A274" s="224"/>
      <c r="B274" s="225"/>
      <c r="C274" s="222"/>
      <c r="D274" s="222"/>
      <c r="E274" s="223"/>
      <c r="F274" s="998" t="s">
        <v>928</v>
      </c>
      <c r="G274" s="252">
        <v>200000</v>
      </c>
      <c r="H274" s="240" t="s">
        <v>273</v>
      </c>
      <c r="I274" s="999">
        <v>1</v>
      </c>
      <c r="J274" s="240"/>
      <c r="K274" s="242"/>
      <c r="L274" s="240"/>
      <c r="M274" s="240"/>
      <c r="N274" s="244"/>
      <c r="O274" s="244" t="s">
        <v>925</v>
      </c>
      <c r="P274" s="245">
        <f>G274*I274</f>
        <v>200000</v>
      </c>
      <c r="Q274" s="1535"/>
      <c r="R274" s="1535"/>
      <c r="S274" s="1535"/>
      <c r="T274" s="1536"/>
    </row>
    <row r="275" spans="1:27" s="196" customFormat="1" ht="15" customHeight="1">
      <c r="A275" s="224"/>
      <c r="B275" s="225"/>
      <c r="C275" s="222"/>
      <c r="D275" s="222"/>
      <c r="E275" s="1126"/>
      <c r="F275" s="240" t="s">
        <v>1641</v>
      </c>
      <c r="G275" s="252"/>
      <c r="H275" s="240"/>
      <c r="I275" s="999"/>
      <c r="J275" s="240"/>
      <c r="K275" s="242"/>
      <c r="L275" s="240"/>
      <c r="M275" s="240"/>
      <c r="N275" s="244"/>
      <c r="O275" s="244"/>
      <c r="P275" s="251">
        <f>P276</f>
        <v>42043000</v>
      </c>
      <c r="Q275" s="1535"/>
      <c r="R275" s="1535"/>
      <c r="S275" s="1535"/>
      <c r="T275" s="1536"/>
    </row>
    <row r="276" spans="1:27" s="196" customFormat="1" ht="15" customHeight="1">
      <c r="A276" s="224"/>
      <c r="B276" s="225"/>
      <c r="C276" s="222"/>
      <c r="D276" s="222"/>
      <c r="E276" s="223"/>
      <c r="F276" s="998" t="s">
        <v>1642</v>
      </c>
      <c r="G276" s="252">
        <v>42043000</v>
      </c>
      <c r="H276" s="240" t="s">
        <v>273</v>
      </c>
      <c r="I276" s="1493">
        <v>1</v>
      </c>
      <c r="J276" s="240"/>
      <c r="K276" s="242"/>
      <c r="L276" s="240"/>
      <c r="M276" s="240"/>
      <c r="N276" s="244"/>
      <c r="O276" s="1480" t="s">
        <v>110</v>
      </c>
      <c r="P276" s="245">
        <f>G276*I276</f>
        <v>42043000</v>
      </c>
      <c r="Q276" s="1535"/>
      <c r="R276" s="1535"/>
      <c r="S276" s="1535"/>
      <c r="T276" s="1536"/>
    </row>
    <row r="277" spans="1:27" s="196" customFormat="1" ht="15" customHeight="1">
      <c r="A277" s="224"/>
      <c r="B277" s="225"/>
      <c r="C277" s="266" t="s">
        <v>290</v>
      </c>
      <c r="D277" s="1537"/>
      <c r="E277" s="1538"/>
      <c r="F277" s="1539"/>
      <c r="G277" s="1059"/>
      <c r="H277" s="1058"/>
      <c r="I277" s="1540"/>
      <c r="J277" s="1058"/>
      <c r="K277" s="1541"/>
      <c r="L277" s="1542"/>
      <c r="M277" s="1541"/>
      <c r="N277" s="1060"/>
      <c r="O277" s="1060"/>
      <c r="P277" s="1543"/>
      <c r="Q277" s="500">
        <f>Q278</f>
        <v>0</v>
      </c>
      <c r="R277" s="500">
        <f>R278</f>
        <v>43000000</v>
      </c>
      <c r="S277" s="220">
        <f>Q277-R277</f>
        <v>-43000000</v>
      </c>
      <c r="T277" s="274">
        <f t="shared" ref="T277:T279" si="15">S277/R277</f>
        <v>-1</v>
      </c>
      <c r="AA277" s="195"/>
    </row>
    <row r="278" spans="1:27" s="196" customFormat="1" ht="15" customHeight="1">
      <c r="A278" s="224"/>
      <c r="B278" s="225"/>
      <c r="C278" s="1029"/>
      <c r="D278" s="554" t="s">
        <v>471</v>
      </c>
      <c r="E278" s="84"/>
      <c r="F278" s="555"/>
      <c r="G278" s="556"/>
      <c r="H278" s="557"/>
      <c r="I278" s="557"/>
      <c r="J278" s="557"/>
      <c r="K278" s="557"/>
      <c r="L278" s="558"/>
      <c r="M278" s="557"/>
      <c r="N278" s="559"/>
      <c r="O278" s="559"/>
      <c r="P278" s="557"/>
      <c r="Q278" s="560">
        <f>Q279</f>
        <v>0</v>
      </c>
      <c r="R278" s="560">
        <f>R279</f>
        <v>43000000</v>
      </c>
      <c r="S278" s="560">
        <f>Q278-R278</f>
        <v>-43000000</v>
      </c>
      <c r="T278" s="573">
        <f t="shared" si="15"/>
        <v>-1</v>
      </c>
      <c r="AA278" s="195"/>
    </row>
    <row r="279" spans="1:27" s="196" customFormat="1" ht="15" customHeight="1" thickBot="1">
      <c r="A279" s="425"/>
      <c r="B279" s="426"/>
      <c r="C279" s="1006"/>
      <c r="D279" s="1430"/>
      <c r="E279" s="1431" t="s">
        <v>291</v>
      </c>
      <c r="F279" s="1432"/>
      <c r="G279" s="1433"/>
      <c r="H279" s="1434"/>
      <c r="I279" s="1434"/>
      <c r="J279" s="1434"/>
      <c r="K279" s="1434"/>
      <c r="L279" s="1435"/>
      <c r="M279" s="1434"/>
      <c r="N279" s="1436"/>
      <c r="O279" s="1436"/>
      <c r="P279" s="1434"/>
      <c r="Q279" s="411">
        <v>0</v>
      </c>
      <c r="R279" s="411">
        <v>43000000</v>
      </c>
      <c r="S279" s="412">
        <f>Q279-R279</f>
        <v>-43000000</v>
      </c>
      <c r="T279" s="413">
        <f t="shared" si="15"/>
        <v>-1</v>
      </c>
      <c r="AA279" s="195"/>
    </row>
    <row r="281" spans="1:27">
      <c r="P281" s="944"/>
    </row>
    <row r="283" spans="1:27">
      <c r="P283" s="944"/>
    </row>
    <row r="285" spans="1:27">
      <c r="P285" s="944"/>
    </row>
    <row r="288" spans="1:27">
      <c r="P288" s="944"/>
    </row>
  </sheetData>
  <mergeCells count="23">
    <mergeCell ref="I191:J191"/>
    <mergeCell ref="I192:J192"/>
    <mergeCell ref="M194:N194"/>
    <mergeCell ref="K67:L67"/>
    <mergeCell ref="M183:N183"/>
    <mergeCell ref="I185:J185"/>
    <mergeCell ref="I188:J188"/>
    <mergeCell ref="I189:J189"/>
    <mergeCell ref="I190:J190"/>
    <mergeCell ref="I54:J54"/>
    <mergeCell ref="A1:T1"/>
    <mergeCell ref="S2:T2"/>
    <mergeCell ref="A3:E3"/>
    <mergeCell ref="G3:P4"/>
    <mergeCell ref="Q3:Q4"/>
    <mergeCell ref="R3:R4"/>
    <mergeCell ref="S3:S4"/>
    <mergeCell ref="T3:T4"/>
    <mergeCell ref="I46:J46"/>
    <mergeCell ref="I50:J50"/>
    <mergeCell ref="I51:J51"/>
    <mergeCell ref="I52:J52"/>
    <mergeCell ref="I53:J53"/>
  </mergeCells>
  <phoneticPr fontId="2" type="noConversion"/>
  <printOptions horizontalCentered="1"/>
  <pageMargins left="0.78740157480314965" right="0.78740157480314965" top="0.78740157480314965" bottom="1.1811023622047245" header="0.78740157480314965" footer="0.39370078740157483"/>
  <pageSetup paperSize="9" scale="74" firstPageNumber="50" fitToHeight="0" orientation="landscape" useFirstPageNumber="1" horizontalDpi="4294967293" r:id="rId1"/>
  <headerFooter scaleWithDoc="0" alignWithMargins="0">
    <oddFooter>&amp;C&amp;P</oddFooter>
  </headerFooter>
  <rowBreaks count="7" manualBreakCount="7">
    <brk id="37" max="19" man="1"/>
    <brk id="75" max="19" man="1"/>
    <brk id="112" max="19" man="1"/>
    <brk id="151" max="19" man="1"/>
    <brk id="185" max="19" man="1"/>
    <brk id="222" max="19" man="1"/>
    <brk id="259" max="19" man="1"/>
  </rowBreaks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3399FF"/>
    <pageSetUpPr fitToPage="1"/>
  </sheetPr>
  <dimension ref="A1:AA162"/>
  <sheetViews>
    <sheetView view="pageBreakPreview" zoomScaleNormal="85" zoomScaleSheetLayoutView="100" workbookViewId="0">
      <pane ySplit="8" topLeftCell="A48" activePane="bottomLeft" state="frozen"/>
      <selection activeCell="V20" sqref="V20"/>
      <selection pane="bottomLeft" activeCell="V20" sqref="V20"/>
    </sheetView>
  </sheetViews>
  <sheetFormatPr defaultColWidth="9" defaultRowHeight="13.5"/>
  <cols>
    <col min="1" max="1" width="3.625" style="196" customWidth="1"/>
    <col min="2" max="4" width="3.625" style="193" customWidth="1"/>
    <col min="5" max="5" width="10.625" style="193" customWidth="1"/>
    <col min="6" max="6" width="29.625" style="194" customWidth="1"/>
    <col min="7" max="7" width="12.5" style="195" customWidth="1"/>
    <col min="8" max="8" width="2.125" style="196" customWidth="1"/>
    <col min="9" max="9" width="7.625" style="1372" customWidth="1"/>
    <col min="10" max="10" width="2.125" style="196" customWidth="1"/>
    <col min="11" max="11" width="5.875" style="196" customWidth="1"/>
    <col min="12" max="12" width="2.625" style="197" customWidth="1"/>
    <col min="13" max="13" width="5.375" style="196" customWidth="1"/>
    <col min="14" max="14" width="2.75" style="198" customWidth="1"/>
    <col min="15" max="15" width="2.625" style="198" customWidth="1"/>
    <col min="16" max="16" width="13.625" style="196" customWidth="1"/>
    <col min="17" max="17" width="10.625" style="199" customWidth="1"/>
    <col min="18" max="19" width="10.625" style="200" customWidth="1"/>
    <col min="20" max="20" width="10.625" style="289" customWidth="1"/>
    <col min="21" max="21" width="10.25" style="196" bestFit="1" customWidth="1"/>
    <col min="22" max="22" width="9" style="196"/>
    <col min="23" max="23" width="9.625" style="196" bestFit="1" customWidth="1"/>
    <col min="24" max="24" width="13.25" style="196" customWidth="1"/>
    <col min="25" max="16384" width="9" style="196"/>
  </cols>
  <sheetData>
    <row r="1" spans="1:26" s="192" customFormat="1" ht="35.1" customHeight="1">
      <c r="A1" s="1968" t="s">
        <v>799</v>
      </c>
      <c r="B1" s="1968"/>
      <c r="C1" s="1968"/>
      <c r="D1" s="1968"/>
      <c r="E1" s="1968"/>
      <c r="F1" s="1968"/>
      <c r="G1" s="1968"/>
      <c r="H1" s="1968"/>
      <c r="I1" s="1968"/>
      <c r="J1" s="1968"/>
      <c r="K1" s="1968"/>
      <c r="L1" s="1968"/>
      <c r="M1" s="1968"/>
      <c r="N1" s="1968"/>
      <c r="O1" s="1968"/>
      <c r="P1" s="1968"/>
      <c r="Q1" s="1968"/>
      <c r="R1" s="1968"/>
      <c r="S1" s="1968"/>
      <c r="T1" s="1968"/>
    </row>
    <row r="2" spans="1:26" ht="15" customHeight="1" thickBot="1">
      <c r="A2" s="192" t="s">
        <v>292</v>
      </c>
      <c r="S2" s="1969" t="s">
        <v>293</v>
      </c>
      <c r="T2" s="1969"/>
    </row>
    <row r="3" spans="1:26" s="201" customFormat="1" ht="14.45" customHeight="1">
      <c r="A3" s="1990" t="s">
        <v>91</v>
      </c>
      <c r="B3" s="1939"/>
      <c r="C3" s="1939"/>
      <c r="D3" s="1939"/>
      <c r="E3" s="1939"/>
      <c r="F3" s="1753"/>
      <c r="G3" s="1940" t="s">
        <v>92</v>
      </c>
      <c r="H3" s="1940"/>
      <c r="I3" s="1940"/>
      <c r="J3" s="1940"/>
      <c r="K3" s="1940"/>
      <c r="L3" s="1940"/>
      <c r="M3" s="1940"/>
      <c r="N3" s="1940"/>
      <c r="O3" s="1940"/>
      <c r="P3" s="1941"/>
      <c r="Q3" s="1944" t="s">
        <v>93</v>
      </c>
      <c r="R3" s="1946" t="s">
        <v>94</v>
      </c>
      <c r="S3" s="1948" t="s">
        <v>95</v>
      </c>
      <c r="T3" s="1950" t="s">
        <v>96</v>
      </c>
    </row>
    <row r="4" spans="1:26" s="201" customFormat="1" ht="14.45" customHeight="1" thickBot="1">
      <c r="A4" s="1742" t="s">
        <v>97</v>
      </c>
      <c r="B4" s="1743" t="s">
        <v>98</v>
      </c>
      <c r="C4" s="1743" t="s">
        <v>99</v>
      </c>
      <c r="D4" s="1743" t="s">
        <v>100</v>
      </c>
      <c r="E4" s="1743" t="s">
        <v>101</v>
      </c>
      <c r="F4" s="1754" t="s">
        <v>102</v>
      </c>
      <c r="G4" s="1942"/>
      <c r="H4" s="1942"/>
      <c r="I4" s="1942"/>
      <c r="J4" s="1942"/>
      <c r="K4" s="1942"/>
      <c r="L4" s="1942"/>
      <c r="M4" s="1942"/>
      <c r="N4" s="1942"/>
      <c r="O4" s="1942"/>
      <c r="P4" s="1943"/>
      <c r="Q4" s="1945"/>
      <c r="R4" s="1947"/>
      <c r="S4" s="1949"/>
      <c r="T4" s="1951"/>
    </row>
    <row r="5" spans="1:26" s="192" customFormat="1" ht="14.45" customHeight="1" thickBot="1">
      <c r="A5" s="1373" t="s">
        <v>83</v>
      </c>
      <c r="B5" s="69"/>
      <c r="C5" s="69"/>
      <c r="D5" s="69"/>
      <c r="E5" s="69"/>
      <c r="F5" s="70"/>
      <c r="G5" s="1374"/>
      <c r="H5" s="1375"/>
      <c r="I5" s="1376"/>
      <c r="J5" s="1375"/>
      <c r="K5" s="1375"/>
      <c r="L5" s="69"/>
      <c r="M5" s="1375"/>
      <c r="N5" s="1377"/>
      <c r="O5" s="1377"/>
      <c r="P5" s="1375"/>
      <c r="Q5" s="1378">
        <f>Q6</f>
        <v>325228000</v>
      </c>
      <c r="R5" s="1378">
        <f>R6</f>
        <v>231000000</v>
      </c>
      <c r="S5" s="1378">
        <f>Q5-R5</f>
        <v>94228000</v>
      </c>
      <c r="T5" s="1379">
        <f>S5/R5</f>
        <v>0.40791341991341989</v>
      </c>
      <c r="X5" s="1544">
        <v>325228000</v>
      </c>
      <c r="Z5" s="989">
        <f>Q5-X5</f>
        <v>0</v>
      </c>
    </row>
    <row r="6" spans="1:26" s="192" customFormat="1" ht="14.45" customHeight="1">
      <c r="A6" s="204"/>
      <c r="B6" s="205" t="s">
        <v>800</v>
      </c>
      <c r="C6" s="206"/>
      <c r="D6" s="206"/>
      <c r="E6" s="206"/>
      <c r="F6" s="207"/>
      <c r="G6" s="990"/>
      <c r="H6" s="206"/>
      <c r="I6" s="1380"/>
      <c r="J6" s="206"/>
      <c r="K6" s="206"/>
      <c r="L6" s="1381"/>
      <c r="M6" s="206"/>
      <c r="N6" s="991"/>
      <c r="O6" s="991"/>
      <c r="P6" s="206"/>
      <c r="Q6" s="992">
        <f>Q7+Q98+Q157+Q160</f>
        <v>325228000</v>
      </c>
      <c r="R6" s="992">
        <f>R7+R98+R157+R160</f>
        <v>231000000</v>
      </c>
      <c r="S6" s="992">
        <f>Q6-R6</f>
        <v>94228000</v>
      </c>
      <c r="T6" s="993">
        <f>S6/R6</f>
        <v>0.40791341991341989</v>
      </c>
    </row>
    <row r="7" spans="1:26" s="192" customFormat="1" ht="14.45" customHeight="1">
      <c r="A7" s="204"/>
      <c r="B7" s="213"/>
      <c r="C7" s="214" t="s">
        <v>499</v>
      </c>
      <c r="D7" s="214"/>
      <c r="E7" s="214"/>
      <c r="F7" s="215"/>
      <c r="G7" s="994"/>
      <c r="H7" s="214"/>
      <c r="I7" s="1382"/>
      <c r="J7" s="214"/>
      <c r="K7" s="214"/>
      <c r="L7" s="518"/>
      <c r="M7" s="214"/>
      <c r="N7" s="202"/>
      <c r="O7" s="202"/>
      <c r="P7" s="214"/>
      <c r="Q7" s="995">
        <f>Q8+Q45</f>
        <v>222988000</v>
      </c>
      <c r="R7" s="995">
        <f>R8+R45</f>
        <v>215844000</v>
      </c>
      <c r="S7" s="995">
        <f>Q7-R7</f>
        <v>7144000</v>
      </c>
      <c r="T7" s="996">
        <f t="shared" ref="T7:T8" si="0">S7/R7</f>
        <v>3.3097978169418653E-2</v>
      </c>
    </row>
    <row r="8" spans="1:26" s="192" customFormat="1" ht="14.45" customHeight="1">
      <c r="A8" s="204"/>
      <c r="B8" s="222"/>
      <c r="C8" s="223"/>
      <c r="D8" s="83" t="s">
        <v>801</v>
      </c>
      <c r="E8" s="84"/>
      <c r="F8" s="85"/>
      <c r="G8" s="86"/>
      <c r="H8" s="84"/>
      <c r="I8" s="1383"/>
      <c r="J8" s="84"/>
      <c r="K8" s="84"/>
      <c r="L8" s="83"/>
      <c r="M8" s="84"/>
      <c r="N8" s="87"/>
      <c r="O8" s="87"/>
      <c r="P8" s="84"/>
      <c r="Q8" s="76">
        <f>SUM(Q9:Q44)</f>
        <v>176359000</v>
      </c>
      <c r="R8" s="76">
        <v>170770000</v>
      </c>
      <c r="S8" s="76">
        <f>Q8-R8</f>
        <v>5589000</v>
      </c>
      <c r="T8" s="77">
        <f t="shared" si="0"/>
        <v>3.2728230953914625E-2</v>
      </c>
    </row>
    <row r="9" spans="1:26" ht="14.45" customHeight="1">
      <c r="A9" s="224"/>
      <c r="B9" s="225"/>
      <c r="C9" s="226"/>
      <c r="D9" s="225"/>
      <c r="E9" s="66" t="s">
        <v>802</v>
      </c>
      <c r="F9" s="227"/>
      <c r="G9" s="228"/>
      <c r="H9" s="66"/>
      <c r="I9" s="1384"/>
      <c r="J9" s="66"/>
      <c r="K9" s="66"/>
      <c r="L9" s="229"/>
      <c r="M9" s="66"/>
      <c r="N9" s="230"/>
      <c r="O9" s="230"/>
      <c r="P9" s="66"/>
      <c r="Q9" s="171">
        <f>SUM(P10)</f>
        <v>98811000</v>
      </c>
      <c r="R9" s="171">
        <v>89049600</v>
      </c>
      <c r="S9" s="171">
        <f>Q9-R9</f>
        <v>9761400</v>
      </c>
      <c r="T9" s="172">
        <f>S9/R9</f>
        <v>0.10961756144890039</v>
      </c>
    </row>
    <row r="10" spans="1:26" ht="14.45" customHeight="1">
      <c r="A10" s="224"/>
      <c r="B10" s="225"/>
      <c r="C10" s="226"/>
      <c r="D10" s="225"/>
      <c r="E10" s="226"/>
      <c r="F10" s="231" t="s">
        <v>635</v>
      </c>
      <c r="G10" s="232"/>
      <c r="H10" s="226"/>
      <c r="I10" s="1385"/>
      <c r="J10" s="226"/>
      <c r="K10" s="226"/>
      <c r="L10" s="1386"/>
      <c r="M10" s="226"/>
      <c r="N10" s="233"/>
      <c r="O10" s="233"/>
      <c r="P10" s="234">
        <f>SUM(P11:P12)</f>
        <v>98811000</v>
      </c>
      <c r="Q10" s="101"/>
      <c r="R10" s="101"/>
      <c r="S10" s="101"/>
      <c r="T10" s="102"/>
    </row>
    <row r="11" spans="1:26" ht="14.45" customHeight="1">
      <c r="A11" s="224"/>
      <c r="B11" s="225"/>
      <c r="C11" s="226"/>
      <c r="D11" s="225"/>
      <c r="E11" s="237"/>
      <c r="F11" s="238" t="s">
        <v>377</v>
      </c>
      <c r="G11" s="239">
        <v>2803300</v>
      </c>
      <c r="H11" s="240" t="s">
        <v>2275</v>
      </c>
      <c r="I11" s="241">
        <v>1</v>
      </c>
      <c r="J11" s="240" t="s">
        <v>109</v>
      </c>
      <c r="K11" s="242">
        <v>12</v>
      </c>
      <c r="L11" s="243"/>
      <c r="M11" s="242"/>
      <c r="N11" s="244"/>
      <c r="O11" s="244" t="s">
        <v>274</v>
      </c>
      <c r="P11" s="245">
        <f>ROUNDUP(G11*I11*K11,-3)</f>
        <v>33640000</v>
      </c>
      <c r="Q11" s="235"/>
      <c r="R11" s="997"/>
      <c r="S11" s="235"/>
      <c r="T11" s="246"/>
    </row>
    <row r="12" spans="1:26" ht="14.45" customHeight="1">
      <c r="A12" s="224"/>
      <c r="B12" s="225"/>
      <c r="C12" s="226"/>
      <c r="D12" s="225"/>
      <c r="E12" s="247"/>
      <c r="F12" s="248" t="s">
        <v>378</v>
      </c>
      <c r="G12" s="239">
        <v>1810300</v>
      </c>
      <c r="H12" s="240" t="s">
        <v>282</v>
      </c>
      <c r="I12" s="241">
        <v>3</v>
      </c>
      <c r="J12" s="240" t="s">
        <v>109</v>
      </c>
      <c r="K12" s="242">
        <v>12</v>
      </c>
      <c r="L12" s="243"/>
      <c r="M12" s="242"/>
      <c r="N12" s="244"/>
      <c r="O12" s="244" t="s">
        <v>2276</v>
      </c>
      <c r="P12" s="245">
        <f>ROUNDUP(G12*I12*K12,-3)</f>
        <v>65171000</v>
      </c>
      <c r="Q12" s="235"/>
      <c r="R12" s="997"/>
      <c r="S12" s="235"/>
      <c r="T12" s="246"/>
      <c r="V12" s="196" t="s">
        <v>2334</v>
      </c>
      <c r="W12" s="236">
        <f>R8</f>
        <v>170770000</v>
      </c>
    </row>
    <row r="13" spans="1:26" ht="14.45" customHeight="1">
      <c r="A13" s="224"/>
      <c r="B13" s="225"/>
      <c r="C13" s="226"/>
      <c r="D13" s="225"/>
      <c r="E13" s="66" t="s">
        <v>503</v>
      </c>
      <c r="F13" s="227"/>
      <c r="G13" s="228"/>
      <c r="H13" s="66"/>
      <c r="I13" s="1384"/>
      <c r="J13" s="66"/>
      <c r="K13" s="66"/>
      <c r="L13" s="229"/>
      <c r="M13" s="66"/>
      <c r="N13" s="230"/>
      <c r="O13" s="230"/>
      <c r="P13" s="66"/>
      <c r="Q13" s="171">
        <f>P14+P17+P21+P23+P25+P27+P34+P37+P30</f>
        <v>60219000</v>
      </c>
      <c r="R13" s="171">
        <v>47783360</v>
      </c>
      <c r="S13" s="171">
        <f>Q13-R13</f>
        <v>12435640</v>
      </c>
      <c r="T13" s="172">
        <f t="shared" ref="T13" si="1">S13/R13</f>
        <v>0.26025043027530925</v>
      </c>
      <c r="V13" s="196" t="s">
        <v>2335</v>
      </c>
      <c r="W13" s="236">
        <f>R45+R160</f>
        <v>45230000</v>
      </c>
    </row>
    <row r="14" spans="1:26" ht="14.45" customHeight="1">
      <c r="A14" s="224"/>
      <c r="B14" s="225"/>
      <c r="C14" s="226"/>
      <c r="D14" s="225"/>
      <c r="E14" s="226"/>
      <c r="F14" s="231" t="s">
        <v>2250</v>
      </c>
      <c r="G14" s="1387"/>
      <c r="H14" s="1168"/>
      <c r="I14" s="1388"/>
      <c r="J14" s="1168"/>
      <c r="K14" s="1168"/>
      <c r="L14" s="1389"/>
      <c r="M14" s="1168"/>
      <c r="N14" s="1171"/>
      <c r="O14" s="1171"/>
      <c r="P14" s="1390">
        <f>SUM(P15:P16)</f>
        <v>6000000</v>
      </c>
      <c r="Q14" s="119"/>
      <c r="R14" s="119"/>
      <c r="S14" s="119"/>
      <c r="T14" s="120"/>
      <c r="W14" s="236">
        <f>R98</f>
        <v>15000000</v>
      </c>
    </row>
    <row r="15" spans="1:26" ht="14.45" customHeight="1">
      <c r="A15" s="224"/>
      <c r="B15" s="225"/>
      <c r="C15" s="226"/>
      <c r="D15" s="225"/>
      <c r="E15" s="237"/>
      <c r="F15" s="238" t="s">
        <v>2251</v>
      </c>
      <c r="G15" s="249">
        <v>125000</v>
      </c>
      <c r="H15" s="240" t="s">
        <v>2252</v>
      </c>
      <c r="I15" s="241">
        <v>1</v>
      </c>
      <c r="J15" s="240" t="s">
        <v>109</v>
      </c>
      <c r="K15" s="242">
        <v>12</v>
      </c>
      <c r="L15" s="240"/>
      <c r="M15" s="240"/>
      <c r="N15" s="240"/>
      <c r="O15" s="244" t="s">
        <v>2253</v>
      </c>
      <c r="P15" s="245">
        <f>ROUNDUP(G15*I15*K15,-3)</f>
        <v>1500000</v>
      </c>
      <c r="Q15" s="235"/>
      <c r="R15" s="997"/>
      <c r="S15" s="235"/>
      <c r="T15" s="246"/>
      <c r="W15" s="236">
        <f>SUM(W12:W14)</f>
        <v>231000000</v>
      </c>
      <c r="X15" s="236"/>
    </row>
    <row r="16" spans="1:26" ht="14.45" customHeight="1">
      <c r="A16" s="224"/>
      <c r="B16" s="225"/>
      <c r="C16" s="226"/>
      <c r="D16" s="225"/>
      <c r="E16" s="237"/>
      <c r="F16" s="248" t="s">
        <v>2254</v>
      </c>
      <c r="G16" s="249">
        <v>125000</v>
      </c>
      <c r="H16" s="240" t="s">
        <v>348</v>
      </c>
      <c r="I16" s="241">
        <v>3</v>
      </c>
      <c r="J16" s="240" t="s">
        <v>109</v>
      </c>
      <c r="K16" s="242">
        <v>12</v>
      </c>
      <c r="L16" s="243"/>
      <c r="M16" s="242"/>
      <c r="N16" s="244"/>
      <c r="O16" s="244" t="s">
        <v>2255</v>
      </c>
      <c r="P16" s="245">
        <f>ROUNDUP(G16*I16*K16,-3)</f>
        <v>4500000</v>
      </c>
      <c r="Q16" s="235"/>
      <c r="R16" s="997"/>
      <c r="S16" s="235"/>
      <c r="T16" s="246"/>
    </row>
    <row r="17" spans="1:21" ht="14.45" customHeight="1">
      <c r="A17" s="224"/>
      <c r="B17" s="225"/>
      <c r="C17" s="226"/>
      <c r="D17" s="225"/>
      <c r="E17" s="237"/>
      <c r="F17" s="231" t="s">
        <v>2256</v>
      </c>
      <c r="G17" s="249"/>
      <c r="H17" s="240"/>
      <c r="I17" s="240"/>
      <c r="J17" s="240"/>
      <c r="K17" s="240"/>
      <c r="L17" s="250"/>
      <c r="M17" s="240"/>
      <c r="N17" s="244"/>
      <c r="O17" s="244"/>
      <c r="P17" s="1061">
        <f>SUM(P18:P20)</f>
        <v>1680000</v>
      </c>
      <c r="Q17" s="235"/>
      <c r="R17" s="997"/>
      <c r="S17" s="235"/>
      <c r="T17" s="246"/>
    </row>
    <row r="18" spans="1:21" ht="14.45" customHeight="1">
      <c r="A18" s="224"/>
      <c r="B18" s="225"/>
      <c r="C18" s="226"/>
      <c r="D18" s="225"/>
      <c r="E18" s="247"/>
      <c r="F18" s="248" t="s">
        <v>2257</v>
      </c>
      <c r="G18" s="252">
        <v>40000</v>
      </c>
      <c r="H18" s="240" t="s">
        <v>277</v>
      </c>
      <c r="I18" s="241">
        <v>1</v>
      </c>
      <c r="J18" s="240" t="s">
        <v>109</v>
      </c>
      <c r="K18" s="242">
        <v>12</v>
      </c>
      <c r="L18" s="243"/>
      <c r="M18" s="242"/>
      <c r="N18" s="244"/>
      <c r="O18" s="244" t="s">
        <v>2258</v>
      </c>
      <c r="P18" s="245">
        <f>ROUNDUP(G18*I18*K18,-3)</f>
        <v>480000</v>
      </c>
      <c r="Q18" s="235"/>
      <c r="R18" s="997"/>
      <c r="S18" s="235"/>
      <c r="T18" s="246"/>
      <c r="U18" s="196" t="s">
        <v>804</v>
      </c>
    </row>
    <row r="19" spans="1:21" ht="14.45" customHeight="1">
      <c r="A19" s="224"/>
      <c r="B19" s="225"/>
      <c r="C19" s="226"/>
      <c r="D19" s="225"/>
      <c r="E19" s="247"/>
      <c r="F19" s="248" t="s">
        <v>2259</v>
      </c>
      <c r="G19" s="252">
        <v>20000</v>
      </c>
      <c r="H19" s="240" t="s">
        <v>2260</v>
      </c>
      <c r="I19" s="241">
        <v>2</v>
      </c>
      <c r="J19" s="240" t="s">
        <v>109</v>
      </c>
      <c r="K19" s="242">
        <v>12</v>
      </c>
      <c r="L19" s="243"/>
      <c r="M19" s="242"/>
      <c r="N19" s="244"/>
      <c r="O19" s="244" t="s">
        <v>2258</v>
      </c>
      <c r="P19" s="245">
        <f>ROUNDUP(G19*I19*K19,-3)</f>
        <v>480000</v>
      </c>
      <c r="Q19" s="235"/>
      <c r="R19" s="997"/>
      <c r="S19" s="235"/>
      <c r="T19" s="246"/>
    </row>
    <row r="20" spans="1:21" ht="14.45" customHeight="1">
      <c r="A20" s="224"/>
      <c r="B20" s="225"/>
      <c r="C20" s="226"/>
      <c r="D20" s="225"/>
      <c r="E20" s="247"/>
      <c r="F20" s="248" t="s">
        <v>2261</v>
      </c>
      <c r="G20" s="252">
        <v>60000</v>
      </c>
      <c r="H20" s="240" t="s">
        <v>348</v>
      </c>
      <c r="I20" s="241">
        <v>1</v>
      </c>
      <c r="J20" s="240" t="s">
        <v>109</v>
      </c>
      <c r="K20" s="242">
        <v>12</v>
      </c>
      <c r="L20" s="243"/>
      <c r="M20" s="242"/>
      <c r="N20" s="244"/>
      <c r="O20" s="244" t="s">
        <v>1342</v>
      </c>
      <c r="P20" s="245">
        <f>ROUNDUP(G20*I20*K20,-3)</f>
        <v>720000</v>
      </c>
      <c r="Q20" s="235"/>
      <c r="R20" s="997"/>
      <c r="S20" s="235"/>
      <c r="T20" s="246"/>
    </row>
    <row r="21" spans="1:21" ht="14.45" customHeight="1">
      <c r="A21" s="224"/>
      <c r="B21" s="225"/>
      <c r="C21" s="226"/>
      <c r="D21" s="225"/>
      <c r="E21" s="237"/>
      <c r="F21" s="231" t="s">
        <v>2262</v>
      </c>
      <c r="G21" s="249"/>
      <c r="H21" s="240"/>
      <c r="I21" s="1391"/>
      <c r="J21" s="240"/>
      <c r="K21" s="240"/>
      <c r="L21" s="250"/>
      <c r="M21" s="240"/>
      <c r="N21" s="244"/>
      <c r="O21" s="244"/>
      <c r="P21" s="251">
        <f>SUM(P22:P22)</f>
        <v>6240000</v>
      </c>
      <c r="Q21" s="235"/>
      <c r="R21" s="997"/>
      <c r="S21" s="235"/>
      <c r="T21" s="246"/>
    </row>
    <row r="22" spans="1:21" ht="14.45" customHeight="1">
      <c r="A22" s="224"/>
      <c r="B22" s="225"/>
      <c r="C22" s="226"/>
      <c r="D22" s="225"/>
      <c r="E22" s="247"/>
      <c r="F22" s="238" t="s">
        <v>2263</v>
      </c>
      <c r="G22" s="252">
        <v>130000</v>
      </c>
      <c r="H22" s="240" t="s">
        <v>282</v>
      </c>
      <c r="I22" s="241">
        <v>4</v>
      </c>
      <c r="J22" s="240" t="s">
        <v>109</v>
      </c>
      <c r="K22" s="242">
        <v>12</v>
      </c>
      <c r="L22" s="243"/>
      <c r="M22" s="242"/>
      <c r="N22" s="244"/>
      <c r="O22" s="244" t="s">
        <v>2255</v>
      </c>
      <c r="P22" s="245">
        <f>ROUNDUP(G22*I22*K22,-3)</f>
        <v>6240000</v>
      </c>
      <c r="Q22" s="235"/>
      <c r="R22" s="997"/>
      <c r="S22" s="235"/>
      <c r="T22" s="246"/>
    </row>
    <row r="23" spans="1:21" ht="14.45" customHeight="1">
      <c r="A23" s="224"/>
      <c r="B23" s="225"/>
      <c r="C23" s="226"/>
      <c r="D23" s="225"/>
      <c r="E23" s="237"/>
      <c r="F23" s="231" t="s">
        <v>2264</v>
      </c>
      <c r="G23" s="249"/>
      <c r="H23" s="240"/>
      <c r="I23" s="1391"/>
      <c r="J23" s="240"/>
      <c r="K23" s="240"/>
      <c r="L23" s="250"/>
      <c r="M23" s="240"/>
      <c r="N23" s="244"/>
      <c r="O23" s="244"/>
      <c r="P23" s="251">
        <f>SUM(P24:P24)</f>
        <v>1440000</v>
      </c>
      <c r="Q23" s="235"/>
      <c r="R23" s="997"/>
      <c r="S23" s="235"/>
      <c r="T23" s="246"/>
    </row>
    <row r="24" spans="1:21" ht="14.45" customHeight="1">
      <c r="A24" s="224"/>
      <c r="B24" s="225"/>
      <c r="C24" s="226"/>
      <c r="D24" s="225"/>
      <c r="E24" s="247"/>
      <c r="F24" s="238" t="s">
        <v>2265</v>
      </c>
      <c r="G24" s="252">
        <v>30000</v>
      </c>
      <c r="H24" s="240" t="s">
        <v>282</v>
      </c>
      <c r="I24" s="241">
        <v>4</v>
      </c>
      <c r="J24" s="240" t="s">
        <v>109</v>
      </c>
      <c r="K24" s="242">
        <v>12</v>
      </c>
      <c r="L24" s="243"/>
      <c r="M24" s="242"/>
      <c r="N24" s="244"/>
      <c r="O24" s="244" t="s">
        <v>1342</v>
      </c>
      <c r="P24" s="245">
        <f>ROUNDUP(G24*I24*K24,-3)</f>
        <v>1440000</v>
      </c>
      <c r="Q24" s="235"/>
      <c r="R24" s="997"/>
      <c r="S24" s="235"/>
      <c r="T24" s="246"/>
    </row>
    <row r="25" spans="1:21" ht="14.45" customHeight="1">
      <c r="A25" s="224"/>
      <c r="B25" s="225"/>
      <c r="C25" s="226"/>
      <c r="D25" s="225"/>
      <c r="E25" s="226"/>
      <c r="F25" s="231" t="s">
        <v>2266</v>
      </c>
      <c r="G25" s="249"/>
      <c r="H25" s="240"/>
      <c r="I25" s="1391"/>
      <c r="J25" s="240"/>
      <c r="K25" s="240"/>
      <c r="L25" s="250"/>
      <c r="M25" s="240"/>
      <c r="N25" s="244"/>
      <c r="O25" s="244"/>
      <c r="P25" s="251">
        <f>SUM(P26:P26)</f>
        <v>25896000</v>
      </c>
      <c r="Q25" s="235"/>
      <c r="R25" s="997"/>
      <c r="S25" s="235"/>
      <c r="T25" s="246"/>
    </row>
    <row r="26" spans="1:21" ht="14.45" customHeight="1">
      <c r="A26" s="224"/>
      <c r="B26" s="225"/>
      <c r="C26" s="226"/>
      <c r="D26" s="225"/>
      <c r="E26" s="237"/>
      <c r="F26" s="238" t="s">
        <v>647</v>
      </c>
      <c r="G26" s="252">
        <v>539500</v>
      </c>
      <c r="H26" s="240" t="s">
        <v>2260</v>
      </c>
      <c r="I26" s="241">
        <v>4</v>
      </c>
      <c r="J26" s="240" t="s">
        <v>109</v>
      </c>
      <c r="K26" s="242">
        <v>12</v>
      </c>
      <c r="L26" s="250"/>
      <c r="M26" s="1392"/>
      <c r="N26" s="244"/>
      <c r="O26" s="244" t="s">
        <v>1342</v>
      </c>
      <c r="P26" s="245">
        <f>ROUNDUP(G26*I26*K26,-3)</f>
        <v>25896000</v>
      </c>
      <c r="Q26" s="235"/>
      <c r="R26" s="997"/>
      <c r="S26" s="235"/>
      <c r="T26" s="246"/>
    </row>
    <row r="27" spans="1:21" ht="14.45" customHeight="1">
      <c r="A27" s="224"/>
      <c r="B27" s="225"/>
      <c r="C27" s="226"/>
      <c r="D27" s="225"/>
      <c r="E27" s="237"/>
      <c r="F27" s="231" t="s">
        <v>2267</v>
      </c>
      <c r="G27" s="1393"/>
      <c r="H27" s="240"/>
      <c r="I27" s="1391"/>
      <c r="J27" s="240"/>
      <c r="K27" s="240"/>
      <c r="L27" s="250"/>
      <c r="M27" s="240"/>
      <c r="N27" s="244"/>
      <c r="O27" s="244"/>
      <c r="P27" s="251">
        <f>SUM(P28:P29)</f>
        <v>5601000</v>
      </c>
      <c r="Q27" s="235"/>
      <c r="R27" s="997"/>
      <c r="S27" s="235"/>
      <c r="T27" s="246"/>
    </row>
    <row r="28" spans="1:21" ht="14.45" customHeight="1">
      <c r="A28" s="224"/>
      <c r="B28" s="225"/>
      <c r="C28" s="226"/>
      <c r="D28" s="225"/>
      <c r="E28" s="237"/>
      <c r="F28" s="238" t="s">
        <v>2268</v>
      </c>
      <c r="G28" s="252">
        <v>1392000</v>
      </c>
      <c r="H28" s="240" t="s">
        <v>2252</v>
      </c>
      <c r="I28" s="241">
        <v>1</v>
      </c>
      <c r="J28" s="240" t="s">
        <v>109</v>
      </c>
      <c r="K28" s="242">
        <v>2</v>
      </c>
      <c r="L28" s="243"/>
      <c r="M28" s="242"/>
      <c r="N28" s="244"/>
      <c r="O28" s="244" t="s">
        <v>1342</v>
      </c>
      <c r="P28" s="245">
        <f>ROUNDUP(G28*I28*K28,-3)</f>
        <v>2784000</v>
      </c>
      <c r="Q28" s="235"/>
      <c r="R28" s="997"/>
      <c r="S28" s="235"/>
      <c r="T28" s="246"/>
    </row>
    <row r="29" spans="1:21" ht="14.45" customHeight="1">
      <c r="A29" s="224"/>
      <c r="B29" s="225"/>
      <c r="C29" s="226"/>
      <c r="D29" s="225"/>
      <c r="E29" s="247"/>
      <c r="F29" s="248" t="s">
        <v>2269</v>
      </c>
      <c r="G29" s="252">
        <v>469400</v>
      </c>
      <c r="H29" s="240" t="s">
        <v>2252</v>
      </c>
      <c r="I29" s="241">
        <v>3</v>
      </c>
      <c r="J29" s="240" t="s">
        <v>109</v>
      </c>
      <c r="K29" s="242">
        <v>2</v>
      </c>
      <c r="L29" s="243"/>
      <c r="M29" s="242"/>
      <c r="N29" s="244"/>
      <c r="O29" s="244" t="s">
        <v>2258</v>
      </c>
      <c r="P29" s="245">
        <f>ROUNDUP(G29*I29*K29,-3)</f>
        <v>2817000</v>
      </c>
      <c r="Q29" s="235"/>
      <c r="R29" s="997"/>
      <c r="S29" s="235"/>
      <c r="T29" s="246"/>
    </row>
    <row r="30" spans="1:21" ht="14.45" customHeight="1">
      <c r="A30" s="224"/>
      <c r="B30" s="225"/>
      <c r="C30" s="226"/>
      <c r="D30" s="225"/>
      <c r="E30" s="237"/>
      <c r="F30" s="231" t="s">
        <v>2270</v>
      </c>
      <c r="G30" s="1393"/>
      <c r="H30" s="240"/>
      <c r="I30" s="1391"/>
      <c r="J30" s="240"/>
      <c r="K30" s="240"/>
      <c r="L30" s="250"/>
      <c r="M30" s="240"/>
      <c r="N30" s="244"/>
      <c r="O30" s="244"/>
      <c r="P30" s="251">
        <f>SUM(P31:P33)</f>
        <v>1580000</v>
      </c>
      <c r="Q30" s="235"/>
      <c r="R30" s="997"/>
      <c r="S30" s="235"/>
      <c r="T30" s="246"/>
    </row>
    <row r="31" spans="1:21" ht="14.45" customHeight="1">
      <c r="A31" s="224"/>
      <c r="B31" s="225"/>
      <c r="C31" s="226"/>
      <c r="D31" s="225"/>
      <c r="E31" s="237"/>
      <c r="F31" s="238" t="s">
        <v>2271</v>
      </c>
      <c r="G31" s="252">
        <v>50000</v>
      </c>
      <c r="H31" s="240" t="s">
        <v>277</v>
      </c>
      <c r="I31" s="241">
        <v>1</v>
      </c>
      <c r="J31" s="240" t="s">
        <v>109</v>
      </c>
      <c r="K31" s="242">
        <v>12</v>
      </c>
      <c r="L31" s="243"/>
      <c r="M31" s="242"/>
      <c r="N31" s="244"/>
      <c r="O31" s="244" t="s">
        <v>2253</v>
      </c>
      <c r="P31" s="245">
        <f>ROUNDUP(G31*I31*K31,-3)</f>
        <v>600000</v>
      </c>
      <c r="Q31" s="235"/>
      <c r="R31" s="997"/>
      <c r="S31" s="235"/>
      <c r="T31" s="246"/>
    </row>
    <row r="32" spans="1:21" ht="14.45" customHeight="1">
      <c r="A32" s="224"/>
      <c r="B32" s="225"/>
      <c r="C32" s="226"/>
      <c r="D32" s="225"/>
      <c r="E32" s="237"/>
      <c r="F32" s="238" t="s">
        <v>2272</v>
      </c>
      <c r="G32" s="252">
        <v>10000</v>
      </c>
      <c r="H32" s="240" t="s">
        <v>2260</v>
      </c>
      <c r="I32" s="241">
        <v>1</v>
      </c>
      <c r="J32" s="240" t="s">
        <v>109</v>
      </c>
      <c r="K32" s="242">
        <v>2</v>
      </c>
      <c r="L32" s="243"/>
      <c r="M32" s="242"/>
      <c r="N32" s="244"/>
      <c r="O32" s="244" t="s">
        <v>1342</v>
      </c>
      <c r="P32" s="245">
        <f>ROUNDUP(G32*I32*K32,-3)</f>
        <v>20000</v>
      </c>
      <c r="Q32" s="235"/>
      <c r="R32" s="997"/>
      <c r="S32" s="235"/>
      <c r="T32" s="246"/>
    </row>
    <row r="33" spans="1:27" ht="14.45" customHeight="1">
      <c r="A33" s="224"/>
      <c r="B33" s="225"/>
      <c r="C33" s="226"/>
      <c r="D33" s="225"/>
      <c r="E33" s="247"/>
      <c r="F33" s="248" t="s">
        <v>650</v>
      </c>
      <c r="G33" s="252">
        <v>80000</v>
      </c>
      <c r="H33" s="240" t="s">
        <v>277</v>
      </c>
      <c r="I33" s="241">
        <v>1</v>
      </c>
      <c r="J33" s="240" t="s">
        <v>109</v>
      </c>
      <c r="K33" s="242">
        <v>12</v>
      </c>
      <c r="L33" s="243"/>
      <c r="M33" s="242"/>
      <c r="N33" s="244"/>
      <c r="O33" s="244" t="s">
        <v>1342</v>
      </c>
      <c r="P33" s="245">
        <f>ROUNDUP(G33*I33*K33,-3)</f>
        <v>960000</v>
      </c>
      <c r="Q33" s="235"/>
      <c r="R33" s="997"/>
      <c r="S33" s="235"/>
      <c r="T33" s="246"/>
    </row>
    <row r="34" spans="1:27" ht="14.45" customHeight="1">
      <c r="A34" s="224"/>
      <c r="B34" s="225"/>
      <c r="C34" s="226"/>
      <c r="D34" s="225"/>
      <c r="E34" s="237"/>
      <c r="F34" s="231" t="s">
        <v>1945</v>
      </c>
      <c r="G34" s="249"/>
      <c r="H34" s="240"/>
      <c r="I34" s="1391"/>
      <c r="J34" s="240"/>
      <c r="K34" s="240"/>
      <c r="L34" s="250"/>
      <c r="M34" s="240"/>
      <c r="N34" s="244"/>
      <c r="O34" s="244"/>
      <c r="P34" s="251">
        <f>SUM(P35:P36)</f>
        <v>9853000</v>
      </c>
      <c r="Q34" s="235"/>
      <c r="R34" s="997"/>
      <c r="S34" s="235"/>
      <c r="T34" s="246"/>
    </row>
    <row r="35" spans="1:27" ht="14.45" customHeight="1">
      <c r="A35" s="224"/>
      <c r="B35" s="225"/>
      <c r="C35" s="226"/>
      <c r="D35" s="225"/>
      <c r="E35" s="237"/>
      <c r="F35" s="238" t="s">
        <v>377</v>
      </c>
      <c r="G35" s="252">
        <v>1670400</v>
      </c>
      <c r="H35" s="240" t="s">
        <v>282</v>
      </c>
      <c r="I35" s="241">
        <v>1</v>
      </c>
      <c r="J35" s="240" t="s">
        <v>109</v>
      </c>
      <c r="K35" s="242">
        <v>2</v>
      </c>
      <c r="L35" s="243"/>
      <c r="M35" s="242"/>
      <c r="N35" s="244"/>
      <c r="O35" s="244" t="s">
        <v>274</v>
      </c>
      <c r="P35" s="245">
        <f>ROUNDUP(G35*I35*K35,-3)</f>
        <v>3341000</v>
      </c>
      <c r="Q35" s="235"/>
      <c r="R35" s="997"/>
      <c r="S35" s="235"/>
      <c r="T35" s="246"/>
    </row>
    <row r="36" spans="1:27" ht="14.45" customHeight="1">
      <c r="A36" s="224"/>
      <c r="B36" s="225"/>
      <c r="C36" s="226"/>
      <c r="D36" s="225"/>
      <c r="E36" s="247"/>
      <c r="F36" s="248" t="s">
        <v>2254</v>
      </c>
      <c r="G36" s="252">
        <v>1085200</v>
      </c>
      <c r="H36" s="240" t="s">
        <v>348</v>
      </c>
      <c r="I36" s="241">
        <v>3</v>
      </c>
      <c r="J36" s="240" t="s">
        <v>109</v>
      </c>
      <c r="K36" s="242">
        <v>2</v>
      </c>
      <c r="L36" s="243"/>
      <c r="M36" s="242"/>
      <c r="N36" s="244"/>
      <c r="O36" s="244" t="s">
        <v>2255</v>
      </c>
      <c r="P36" s="245">
        <f>ROUNDUP(G36*I36*K36,-3)</f>
        <v>6512000</v>
      </c>
      <c r="Q36" s="235"/>
      <c r="R36" s="997"/>
      <c r="S36" s="235"/>
      <c r="T36" s="246"/>
    </row>
    <row r="37" spans="1:27" ht="14.45" customHeight="1">
      <c r="A37" s="224"/>
      <c r="B37" s="225"/>
      <c r="C37" s="226"/>
      <c r="D37" s="225"/>
      <c r="E37" s="237"/>
      <c r="F37" s="231" t="s">
        <v>2273</v>
      </c>
      <c r="G37" s="249"/>
      <c r="H37" s="240"/>
      <c r="I37" s="1391"/>
      <c r="J37" s="240"/>
      <c r="K37" s="240"/>
      <c r="L37" s="250"/>
      <c r="M37" s="240"/>
      <c r="N37" s="244"/>
      <c r="O37" s="244"/>
      <c r="P37" s="251">
        <f>SUM(P38:P38)</f>
        <v>1929000</v>
      </c>
      <c r="Q37" s="235"/>
      <c r="R37" s="997"/>
      <c r="S37" s="235"/>
      <c r="T37" s="246"/>
    </row>
    <row r="38" spans="1:27" ht="14.45" customHeight="1">
      <c r="A38" s="576"/>
      <c r="B38" s="278"/>
      <c r="C38" s="279"/>
      <c r="D38" s="278"/>
      <c r="E38" s="577"/>
      <c r="F38" s="578" t="s">
        <v>2274</v>
      </c>
      <c r="G38" s="579">
        <v>96450</v>
      </c>
      <c r="H38" s="283" t="s">
        <v>2260</v>
      </c>
      <c r="I38" s="1118">
        <v>4</v>
      </c>
      <c r="J38" s="283" t="s">
        <v>109</v>
      </c>
      <c r="K38" s="1064">
        <v>5</v>
      </c>
      <c r="L38" s="1394"/>
      <c r="M38" s="1395"/>
      <c r="N38" s="285"/>
      <c r="O38" s="285" t="s">
        <v>1897</v>
      </c>
      <c r="P38" s="286">
        <f>ROUNDUP(G38*I38*K38,-3)</f>
        <v>1929000</v>
      </c>
      <c r="Q38" s="287"/>
      <c r="R38" s="1027"/>
      <c r="S38" s="287"/>
      <c r="T38" s="288"/>
    </row>
    <row r="39" spans="1:27" ht="14.45" customHeight="1">
      <c r="A39" s="224"/>
      <c r="B39" s="225"/>
      <c r="C39" s="226"/>
      <c r="D39" s="225"/>
      <c r="E39" s="1112" t="s">
        <v>431</v>
      </c>
      <c r="F39" s="364"/>
      <c r="G39" s="365"/>
      <c r="H39" s="363"/>
      <c r="I39" s="363"/>
      <c r="J39" s="363"/>
      <c r="K39" s="363"/>
      <c r="L39" s="366"/>
      <c r="M39" s="363"/>
      <c r="N39" s="367"/>
      <c r="O39" s="367"/>
      <c r="P39" s="363"/>
      <c r="Q39" s="188">
        <f>SUM(P40)</f>
        <v>4086000</v>
      </c>
      <c r="R39" s="188">
        <v>20800000</v>
      </c>
      <c r="S39" s="188">
        <f>Q39-R39</f>
        <v>-16714000</v>
      </c>
      <c r="T39" s="570">
        <f t="shared" ref="T39" si="2">S39/R39</f>
        <v>-0.80355769230769236</v>
      </c>
    </row>
    <row r="40" spans="1:27" ht="14.45" customHeight="1">
      <c r="A40" s="224"/>
      <c r="B40" s="225"/>
      <c r="C40" s="226"/>
      <c r="D40" s="225"/>
      <c r="E40" s="226"/>
      <c r="F40" s="231" t="s">
        <v>806</v>
      </c>
      <c r="G40" s="249"/>
      <c r="H40" s="240"/>
      <c r="I40" s="240"/>
      <c r="J40" s="240"/>
      <c r="K40" s="240"/>
      <c r="L40" s="250"/>
      <c r="M40" s="240"/>
      <c r="N40" s="244"/>
      <c r="O40" s="244"/>
      <c r="P40" s="251">
        <f>SUM(P41:P41)</f>
        <v>4086000</v>
      </c>
      <c r="Q40" s="235"/>
      <c r="R40" s="997"/>
      <c r="S40" s="235"/>
      <c r="T40" s="246"/>
    </row>
    <row r="41" spans="1:27" ht="14.45" customHeight="1">
      <c r="A41" s="224"/>
      <c r="B41" s="225"/>
      <c r="C41" s="226"/>
      <c r="D41" s="225"/>
      <c r="E41" s="237"/>
      <c r="F41" s="238" t="s">
        <v>807</v>
      </c>
      <c r="G41" s="252">
        <v>9080</v>
      </c>
      <c r="H41" s="240" t="s">
        <v>277</v>
      </c>
      <c r="I41" s="1392">
        <v>90</v>
      </c>
      <c r="J41" s="240" t="s">
        <v>109</v>
      </c>
      <c r="K41" s="242">
        <v>5</v>
      </c>
      <c r="L41" s="243"/>
      <c r="M41" s="242"/>
      <c r="N41" s="244"/>
      <c r="O41" s="244" t="s">
        <v>2249</v>
      </c>
      <c r="P41" s="245">
        <f>ROUNDUP(G41*I41*K41,-3)</f>
        <v>4086000</v>
      </c>
      <c r="Q41" s="235"/>
      <c r="R41" s="997"/>
      <c r="S41" s="235"/>
      <c r="T41" s="246"/>
    </row>
    <row r="42" spans="1:27" ht="14.45" customHeight="1">
      <c r="A42" s="224"/>
      <c r="B42" s="225"/>
      <c r="C42" s="226"/>
      <c r="D42" s="225"/>
      <c r="E42" s="255" t="s">
        <v>514</v>
      </c>
      <c r="F42" s="227"/>
      <c r="G42" s="228"/>
      <c r="H42" s="66"/>
      <c r="I42" s="1384"/>
      <c r="J42" s="66"/>
      <c r="K42" s="66"/>
      <c r="L42" s="229"/>
      <c r="M42" s="66"/>
      <c r="N42" s="230"/>
      <c r="O42" s="230"/>
      <c r="P42" s="66"/>
      <c r="Q42" s="171">
        <f>SUM(P43)</f>
        <v>13243000</v>
      </c>
      <c r="R42" s="171">
        <v>13137000</v>
      </c>
      <c r="S42" s="171">
        <f>Q42-R42</f>
        <v>106000</v>
      </c>
      <c r="T42" s="172">
        <f t="shared" ref="T42:T64" si="3">S42/R42</f>
        <v>8.0688132754814651E-3</v>
      </c>
    </row>
    <row r="43" spans="1:27" ht="14.45" customHeight="1">
      <c r="A43" s="224"/>
      <c r="B43" s="225"/>
      <c r="C43" s="226"/>
      <c r="D43" s="225"/>
      <c r="E43" s="226"/>
      <c r="F43" s="231" t="s">
        <v>861</v>
      </c>
      <c r="G43" s="249"/>
      <c r="H43" s="240"/>
      <c r="I43" s="1391"/>
      <c r="J43" s="240"/>
      <c r="K43" s="240"/>
      <c r="L43" s="250"/>
      <c r="M43" s="240"/>
      <c r="N43" s="244"/>
      <c r="O43" s="244"/>
      <c r="P43" s="251">
        <f>SUM(P44:P44)</f>
        <v>13243000</v>
      </c>
      <c r="Q43" s="235"/>
      <c r="R43" s="997"/>
      <c r="S43" s="235"/>
      <c r="T43" s="246"/>
      <c r="W43" s="196">
        <v>2018</v>
      </c>
      <c r="X43" s="196">
        <v>2017</v>
      </c>
    </row>
    <row r="44" spans="1:27" ht="14.45" customHeight="1">
      <c r="A44" s="224"/>
      <c r="B44" s="225"/>
      <c r="C44" s="226"/>
      <c r="D44" s="225"/>
      <c r="E44" s="237"/>
      <c r="F44" s="238" t="s">
        <v>381</v>
      </c>
      <c r="G44" s="252">
        <v>158907000</v>
      </c>
      <c r="H44" s="240" t="s">
        <v>277</v>
      </c>
      <c r="I44" s="1998">
        <v>12</v>
      </c>
      <c r="J44" s="1998"/>
      <c r="K44" s="242"/>
      <c r="L44" s="243"/>
      <c r="M44" s="242"/>
      <c r="N44" s="244"/>
      <c r="O44" s="244" t="s">
        <v>2277</v>
      </c>
      <c r="P44" s="245">
        <f>ROUNDUP((G44/12),-3)</f>
        <v>13243000</v>
      </c>
      <c r="Q44" s="235"/>
      <c r="R44" s="997"/>
      <c r="S44" s="235"/>
      <c r="T44" s="246"/>
      <c r="V44" s="196" t="s">
        <v>2151</v>
      </c>
      <c r="W44" s="236">
        <f>W47-W45</f>
        <v>45429000</v>
      </c>
      <c r="X44" s="236">
        <f>X47-X45</f>
        <v>44074000</v>
      </c>
      <c r="AA44" s="236"/>
    </row>
    <row r="45" spans="1:27" ht="14.45" customHeight="1">
      <c r="A45" s="224"/>
      <c r="B45" s="225"/>
      <c r="C45" s="226"/>
      <c r="D45" s="84" t="s">
        <v>70</v>
      </c>
      <c r="E45" s="84"/>
      <c r="F45" s="85"/>
      <c r="G45" s="86"/>
      <c r="H45" s="84"/>
      <c r="I45" s="1383"/>
      <c r="J45" s="84"/>
      <c r="K45" s="84"/>
      <c r="L45" s="83"/>
      <c r="M45" s="84"/>
      <c r="N45" s="87"/>
      <c r="O45" s="87"/>
      <c r="P45" s="84"/>
      <c r="Q45" s="76">
        <f>SUM(Q46:Q97)</f>
        <v>46629000</v>
      </c>
      <c r="R45" s="76">
        <v>45074000</v>
      </c>
      <c r="S45" s="76">
        <f>Q45-R45</f>
        <v>1555000</v>
      </c>
      <c r="T45" s="135">
        <f t="shared" si="3"/>
        <v>3.4498824155832629E-2</v>
      </c>
      <c r="V45" s="196" t="s">
        <v>2152</v>
      </c>
      <c r="W45" s="236">
        <f>Q95</f>
        <v>1200000</v>
      </c>
      <c r="X45" s="236">
        <f>R95</f>
        <v>1000000</v>
      </c>
    </row>
    <row r="46" spans="1:27" ht="14.45" customHeight="1">
      <c r="A46" s="224"/>
      <c r="B46" s="225"/>
      <c r="C46" s="226"/>
      <c r="D46" s="225"/>
      <c r="E46" s="66" t="s">
        <v>433</v>
      </c>
      <c r="F46" s="227"/>
      <c r="G46" s="228"/>
      <c r="H46" s="66"/>
      <c r="I46" s="1384"/>
      <c r="J46" s="66"/>
      <c r="K46" s="66"/>
      <c r="L46" s="229"/>
      <c r="M46" s="66"/>
      <c r="N46" s="230"/>
      <c r="O46" s="230"/>
      <c r="P46" s="66"/>
      <c r="Q46" s="171">
        <f>P47+P53+P55</f>
        <v>25653000</v>
      </c>
      <c r="R46" s="171">
        <v>22198190</v>
      </c>
      <c r="S46" s="171">
        <f>Q46-R46</f>
        <v>3454810</v>
      </c>
      <c r="T46" s="172">
        <f t="shared" si="3"/>
        <v>0.15563476121251327</v>
      </c>
    </row>
    <row r="47" spans="1:27" ht="14.45" customHeight="1">
      <c r="A47" s="224"/>
      <c r="B47" s="225"/>
      <c r="C47" s="226"/>
      <c r="D47" s="225"/>
      <c r="E47" s="226"/>
      <c r="F47" s="231" t="s">
        <v>383</v>
      </c>
      <c r="G47" s="249"/>
      <c r="H47" s="240"/>
      <c r="I47" s="1391"/>
      <c r="J47" s="240"/>
      <c r="K47" s="240"/>
      <c r="L47" s="250"/>
      <c r="M47" s="240"/>
      <c r="N47" s="244"/>
      <c r="O47" s="244"/>
      <c r="P47" s="251">
        <f>SUM(P48:P52)</f>
        <v>18653000</v>
      </c>
      <c r="Q47" s="235"/>
      <c r="R47" s="997"/>
      <c r="S47" s="235"/>
      <c r="T47" s="246"/>
      <c r="V47" s="196" t="s">
        <v>2153</v>
      </c>
      <c r="W47" s="236">
        <f>Q45</f>
        <v>46629000</v>
      </c>
      <c r="X47" s="236">
        <f>R45</f>
        <v>45074000</v>
      </c>
    </row>
    <row r="48" spans="1:27" ht="14.45" customHeight="1">
      <c r="A48" s="224"/>
      <c r="B48" s="225"/>
      <c r="C48" s="226"/>
      <c r="D48" s="225"/>
      <c r="E48" s="237"/>
      <c r="F48" s="238" t="s">
        <v>517</v>
      </c>
      <c r="G48" s="252">
        <v>195068000</v>
      </c>
      <c r="H48" s="240" t="s">
        <v>277</v>
      </c>
      <c r="I48" s="1993">
        <v>4.4999999999999998E-2</v>
      </c>
      <c r="J48" s="1993"/>
      <c r="K48" s="242"/>
      <c r="L48" s="243"/>
      <c r="M48" s="242"/>
      <c r="N48" s="244"/>
      <c r="O48" s="244" t="s">
        <v>283</v>
      </c>
      <c r="P48" s="245">
        <f>ROUNDUP(G48*I48,-3)</f>
        <v>8779000</v>
      </c>
      <c r="Q48" s="235"/>
      <c r="R48" s="997"/>
      <c r="S48" s="235"/>
      <c r="T48" s="246"/>
      <c r="AA48" s="236"/>
    </row>
    <row r="49" spans="1:27" ht="14.45" customHeight="1">
      <c r="A49" s="224"/>
      <c r="B49" s="225"/>
      <c r="C49" s="226"/>
      <c r="D49" s="225"/>
      <c r="E49" s="247"/>
      <c r="F49" s="248" t="s">
        <v>808</v>
      </c>
      <c r="G49" s="252">
        <v>195068000</v>
      </c>
      <c r="H49" s="240" t="s">
        <v>277</v>
      </c>
      <c r="I49" s="1993">
        <v>3.0599999999999999E-2</v>
      </c>
      <c r="J49" s="1993"/>
      <c r="K49" s="242"/>
      <c r="L49" s="243"/>
      <c r="M49" s="242"/>
      <c r="N49" s="244"/>
      <c r="O49" s="244" t="s">
        <v>283</v>
      </c>
      <c r="P49" s="245">
        <f>ROUNDUP(G49*I49,-3)</f>
        <v>5970000</v>
      </c>
      <c r="Q49" s="235"/>
      <c r="R49" s="997"/>
      <c r="S49" s="235"/>
      <c r="T49" s="246"/>
    </row>
    <row r="50" spans="1:27" ht="14.45" customHeight="1">
      <c r="A50" s="224"/>
      <c r="B50" s="225"/>
      <c r="C50" s="226"/>
      <c r="D50" s="225"/>
      <c r="E50" s="247"/>
      <c r="F50" s="248" t="s">
        <v>385</v>
      </c>
      <c r="G50" s="252">
        <f>P49</f>
        <v>5970000</v>
      </c>
      <c r="H50" s="240" t="s">
        <v>282</v>
      </c>
      <c r="I50" s="1993">
        <v>6.5500000000000003E-2</v>
      </c>
      <c r="J50" s="1993"/>
      <c r="K50" s="242"/>
      <c r="L50" s="243"/>
      <c r="M50" s="242"/>
      <c r="N50" s="244"/>
      <c r="O50" s="244" t="s">
        <v>283</v>
      </c>
      <c r="P50" s="245">
        <f>ROUNDUP(G50*I50,-3)</f>
        <v>392000</v>
      </c>
      <c r="Q50" s="235"/>
      <c r="R50" s="997"/>
      <c r="S50" s="235"/>
      <c r="T50" s="246"/>
      <c r="AA50" s="195">
        <f>AA42-AA44</f>
        <v>0</v>
      </c>
    </row>
    <row r="51" spans="1:27" ht="14.45" customHeight="1">
      <c r="A51" s="224"/>
      <c r="B51" s="225"/>
      <c r="C51" s="226"/>
      <c r="D51" s="225"/>
      <c r="E51" s="247"/>
      <c r="F51" s="248" t="s">
        <v>386</v>
      </c>
      <c r="G51" s="252">
        <v>195068000</v>
      </c>
      <c r="H51" s="240" t="s">
        <v>803</v>
      </c>
      <c r="I51" s="1993">
        <v>8.9999999999999993E-3</v>
      </c>
      <c r="J51" s="1993"/>
      <c r="K51" s="242"/>
      <c r="L51" s="243"/>
      <c r="M51" s="242"/>
      <c r="N51" s="244"/>
      <c r="O51" s="244" t="s">
        <v>283</v>
      </c>
      <c r="P51" s="245">
        <f>ROUNDUP(G51*I51,-3)</f>
        <v>1756000</v>
      </c>
      <c r="Q51" s="235"/>
      <c r="R51" s="997"/>
      <c r="S51" s="235"/>
      <c r="T51" s="246"/>
      <c r="W51" s="196" t="s">
        <v>2856</v>
      </c>
    </row>
    <row r="52" spans="1:27" ht="14.45" customHeight="1">
      <c r="A52" s="224"/>
      <c r="B52" s="225"/>
      <c r="C52" s="226"/>
      <c r="D52" s="225"/>
      <c r="E52" s="247"/>
      <c r="F52" s="248" t="s">
        <v>436</v>
      </c>
      <c r="G52" s="252">
        <v>195068000</v>
      </c>
      <c r="H52" s="240" t="s">
        <v>282</v>
      </c>
      <c r="I52" s="1993">
        <v>8.9999999999999993E-3</v>
      </c>
      <c r="J52" s="1993"/>
      <c r="K52" s="242"/>
      <c r="L52" s="243"/>
      <c r="M52" s="242"/>
      <c r="N52" s="244"/>
      <c r="O52" s="244" t="s">
        <v>283</v>
      </c>
      <c r="P52" s="245">
        <f>ROUNDUP(G52*I52,-3)</f>
        <v>1756000</v>
      </c>
      <c r="Q52" s="235"/>
      <c r="R52" s="997"/>
      <c r="S52" s="235"/>
      <c r="T52" s="246"/>
      <c r="V52" s="196">
        <v>6</v>
      </c>
      <c r="W52" s="196" t="s">
        <v>2854</v>
      </c>
    </row>
    <row r="53" spans="1:27" ht="14.45" customHeight="1">
      <c r="A53" s="224"/>
      <c r="B53" s="225"/>
      <c r="C53" s="226"/>
      <c r="D53" s="225"/>
      <c r="E53" s="247"/>
      <c r="F53" s="231" t="s">
        <v>367</v>
      </c>
      <c r="G53" s="240"/>
      <c r="H53" s="240"/>
      <c r="I53" s="240"/>
      <c r="J53" s="240"/>
      <c r="K53" s="240"/>
      <c r="L53" s="240"/>
      <c r="M53" s="240"/>
      <c r="N53" s="240"/>
      <c r="O53" s="240"/>
      <c r="P53" s="251">
        <f>SUM(P54)</f>
        <v>1400000</v>
      </c>
      <c r="Q53" s="235"/>
      <c r="R53" s="997"/>
      <c r="S53" s="235"/>
      <c r="T53" s="246"/>
      <c r="V53" s="196">
        <v>6</v>
      </c>
      <c r="W53" s="1372" t="s">
        <v>2855</v>
      </c>
    </row>
    <row r="54" spans="1:27" ht="14.45" customHeight="1">
      <c r="A54" s="224"/>
      <c r="B54" s="225"/>
      <c r="C54" s="226"/>
      <c r="D54" s="225"/>
      <c r="E54" s="247"/>
      <c r="F54" s="104" t="s">
        <v>437</v>
      </c>
      <c r="G54" s="121">
        <v>7000</v>
      </c>
      <c r="H54" s="106" t="s">
        <v>277</v>
      </c>
      <c r="I54" s="1056">
        <v>2</v>
      </c>
      <c r="J54" s="106" t="s">
        <v>277</v>
      </c>
      <c r="K54" s="129">
        <v>10</v>
      </c>
      <c r="L54" s="106" t="s">
        <v>277</v>
      </c>
      <c r="M54" s="108">
        <v>10</v>
      </c>
      <c r="N54" s="110"/>
      <c r="O54" s="110" t="s">
        <v>283</v>
      </c>
      <c r="P54" s="1396">
        <f>G54*I54*K54*M54</f>
        <v>1400000</v>
      </c>
      <c r="Q54" s="235"/>
      <c r="R54" s="997"/>
      <c r="S54" s="235"/>
      <c r="T54" s="246"/>
      <c r="W54" s="1372"/>
    </row>
    <row r="55" spans="1:27" ht="14.45" customHeight="1">
      <c r="A55" s="224"/>
      <c r="B55" s="225"/>
      <c r="C55" s="226"/>
      <c r="D55" s="225"/>
      <c r="E55" s="247"/>
      <c r="F55" s="231" t="s">
        <v>809</v>
      </c>
      <c r="G55" s="1074"/>
      <c r="H55" s="240"/>
      <c r="I55" s="1397"/>
      <c r="J55" s="240"/>
      <c r="K55" s="1122"/>
      <c r="L55" s="240"/>
      <c r="M55" s="242"/>
      <c r="N55" s="244"/>
      <c r="O55" s="244"/>
      <c r="P55" s="251">
        <f>SUM(P56:P57)</f>
        <v>5600000</v>
      </c>
      <c r="Q55" s="235"/>
      <c r="R55" s="997"/>
      <c r="S55" s="235"/>
      <c r="T55" s="246"/>
      <c r="W55" s="236"/>
    </row>
    <row r="56" spans="1:27" ht="14.45" customHeight="1">
      <c r="A56" s="224"/>
      <c r="B56" s="225"/>
      <c r="C56" s="226"/>
      <c r="D56" s="225"/>
      <c r="E56" s="247"/>
      <c r="F56" s="248" t="s">
        <v>740</v>
      </c>
      <c r="G56" s="252">
        <v>1200000</v>
      </c>
      <c r="H56" s="240" t="s">
        <v>277</v>
      </c>
      <c r="I56" s="1398">
        <v>4</v>
      </c>
      <c r="J56" s="240"/>
      <c r="K56" s="1122"/>
      <c r="L56" s="240"/>
      <c r="M56" s="242"/>
      <c r="N56" s="244"/>
      <c r="O56" s="244" t="s">
        <v>2439</v>
      </c>
      <c r="P56" s="575">
        <f>G56*I56</f>
        <v>4800000</v>
      </c>
      <c r="Q56" s="235"/>
      <c r="R56" s="997"/>
      <c r="S56" s="235"/>
      <c r="T56" s="246"/>
      <c r="W56" s="1372"/>
    </row>
    <row r="57" spans="1:27" ht="14.45" customHeight="1">
      <c r="A57" s="224"/>
      <c r="B57" s="225"/>
      <c r="C57" s="226"/>
      <c r="D57" s="225"/>
      <c r="E57" s="247"/>
      <c r="F57" s="104" t="s">
        <v>810</v>
      </c>
      <c r="G57" s="121">
        <v>400000</v>
      </c>
      <c r="H57" s="106" t="s">
        <v>277</v>
      </c>
      <c r="I57" s="1056">
        <v>2</v>
      </c>
      <c r="J57" s="106"/>
      <c r="K57" s="129"/>
      <c r="L57" s="106"/>
      <c r="M57" s="108"/>
      <c r="N57" s="110"/>
      <c r="O57" s="110" t="s">
        <v>2437</v>
      </c>
      <c r="P57" s="1396">
        <f>G57*I57</f>
        <v>800000</v>
      </c>
      <c r="Q57" s="235"/>
      <c r="R57" s="997"/>
      <c r="S57" s="235"/>
      <c r="T57" s="246"/>
      <c r="W57" s="1372"/>
    </row>
    <row r="58" spans="1:27" ht="14.45" customHeight="1">
      <c r="A58" s="224"/>
      <c r="B58" s="225"/>
      <c r="C58" s="226"/>
      <c r="D58" s="225"/>
      <c r="E58" s="66" t="s">
        <v>440</v>
      </c>
      <c r="F58" s="227"/>
      <c r="G58" s="228"/>
      <c r="H58" s="66"/>
      <c r="I58" s="1384"/>
      <c r="J58" s="66"/>
      <c r="K58" s="66"/>
      <c r="L58" s="229"/>
      <c r="M58" s="66"/>
      <c r="N58" s="230"/>
      <c r="O58" s="230"/>
      <c r="P58" s="66"/>
      <c r="Q58" s="171">
        <f>SUM(P59)</f>
        <v>7200000</v>
      </c>
      <c r="R58" s="171">
        <v>4800000</v>
      </c>
      <c r="S58" s="171">
        <f>Q58-R58</f>
        <v>2400000</v>
      </c>
      <c r="T58" s="172">
        <f t="shared" si="3"/>
        <v>0.5</v>
      </c>
    </row>
    <row r="59" spans="1:27" ht="14.45" customHeight="1">
      <c r="A59" s="224"/>
      <c r="B59" s="225"/>
      <c r="C59" s="226"/>
      <c r="D59" s="225"/>
      <c r="E59" s="226"/>
      <c r="F59" s="231" t="s">
        <v>742</v>
      </c>
      <c r="G59" s="249"/>
      <c r="H59" s="240"/>
      <c r="I59" s="1391"/>
      <c r="J59" s="240"/>
      <c r="K59" s="240"/>
      <c r="L59" s="250"/>
      <c r="M59" s="240"/>
      <c r="N59" s="244"/>
      <c r="O59" s="244"/>
      <c r="P59" s="251">
        <f>SUM(P60:P60)</f>
        <v>7200000</v>
      </c>
      <c r="Q59" s="235"/>
      <c r="R59" s="997"/>
      <c r="S59" s="235"/>
      <c r="T59" s="246"/>
    </row>
    <row r="60" spans="1:27" ht="14.45" customHeight="1">
      <c r="A60" s="224"/>
      <c r="B60" s="225"/>
      <c r="C60" s="226"/>
      <c r="D60" s="225"/>
      <c r="E60" s="237"/>
      <c r="F60" s="238" t="s">
        <v>743</v>
      </c>
      <c r="G60" s="252">
        <v>150000</v>
      </c>
      <c r="H60" s="240" t="s">
        <v>277</v>
      </c>
      <c r="I60" s="1398">
        <v>4</v>
      </c>
      <c r="J60" s="240" t="s">
        <v>109</v>
      </c>
      <c r="K60" s="242">
        <v>12</v>
      </c>
      <c r="L60" s="243"/>
      <c r="M60" s="242"/>
      <c r="N60" s="244"/>
      <c r="O60" s="244" t="s">
        <v>283</v>
      </c>
      <c r="P60" s="245">
        <f>G60*I60*K60</f>
        <v>7200000</v>
      </c>
      <c r="Q60" s="235"/>
      <c r="R60" s="997"/>
      <c r="S60" s="235"/>
      <c r="T60" s="246"/>
    </row>
    <row r="61" spans="1:27" ht="14.45" customHeight="1">
      <c r="A61" s="224"/>
      <c r="B61" s="225"/>
      <c r="C61" s="226"/>
      <c r="D61" s="225"/>
      <c r="E61" s="66" t="s">
        <v>388</v>
      </c>
      <c r="F61" s="227"/>
      <c r="G61" s="228"/>
      <c r="H61" s="66"/>
      <c r="I61" s="1384"/>
      <c r="J61" s="66"/>
      <c r="K61" s="66"/>
      <c r="L61" s="229"/>
      <c r="M61" s="66"/>
      <c r="N61" s="230"/>
      <c r="O61" s="230"/>
      <c r="P61" s="66"/>
      <c r="Q61" s="171">
        <f>P62</f>
        <v>720000</v>
      </c>
      <c r="R61" s="171">
        <v>1600000</v>
      </c>
      <c r="S61" s="171">
        <f>Q61-R61</f>
        <v>-880000</v>
      </c>
      <c r="T61" s="172">
        <f t="shared" si="3"/>
        <v>-0.55000000000000004</v>
      </c>
    </row>
    <row r="62" spans="1:27" ht="14.45" customHeight="1">
      <c r="A62" s="224"/>
      <c r="B62" s="225"/>
      <c r="C62" s="226"/>
      <c r="D62" s="225"/>
      <c r="E62" s="226"/>
      <c r="F62" s="231" t="s">
        <v>811</v>
      </c>
      <c r="G62" s="249"/>
      <c r="H62" s="240"/>
      <c r="I62" s="1391"/>
      <c r="J62" s="240"/>
      <c r="K62" s="240"/>
      <c r="L62" s="250"/>
      <c r="M62" s="240"/>
      <c r="N62" s="244"/>
      <c r="O62" s="244"/>
      <c r="P62" s="251">
        <f>SUM(P63:P63)</f>
        <v>720000</v>
      </c>
      <c r="Q62" s="235"/>
      <c r="R62" s="997"/>
      <c r="S62" s="235"/>
      <c r="T62" s="246"/>
    </row>
    <row r="63" spans="1:27" ht="14.45" customHeight="1">
      <c r="A63" s="224"/>
      <c r="B63" s="225"/>
      <c r="C63" s="226"/>
      <c r="D63" s="225"/>
      <c r="E63" s="237"/>
      <c r="F63" s="126" t="s">
        <v>1631</v>
      </c>
      <c r="G63" s="121">
        <v>60000</v>
      </c>
      <c r="H63" s="106" t="s">
        <v>273</v>
      </c>
      <c r="I63" s="108">
        <v>12</v>
      </c>
      <c r="J63" s="106"/>
      <c r="K63" s="108"/>
      <c r="L63" s="109"/>
      <c r="M63" s="108"/>
      <c r="N63" s="110"/>
      <c r="O63" s="110" t="s">
        <v>274</v>
      </c>
      <c r="P63" s="111">
        <f>ROUNDUP(G63*I63,-3)</f>
        <v>720000</v>
      </c>
      <c r="Q63" s="235"/>
      <c r="R63" s="997"/>
      <c r="S63" s="235"/>
      <c r="T63" s="246"/>
    </row>
    <row r="64" spans="1:27" ht="14.45" customHeight="1">
      <c r="A64" s="224"/>
      <c r="B64" s="225"/>
      <c r="C64" s="226"/>
      <c r="D64" s="225"/>
      <c r="E64" s="66" t="s">
        <v>813</v>
      </c>
      <c r="F64" s="227"/>
      <c r="G64" s="228"/>
      <c r="H64" s="66"/>
      <c r="I64" s="1384"/>
      <c r="J64" s="66"/>
      <c r="K64" s="66"/>
      <c r="L64" s="229"/>
      <c r="M64" s="66"/>
      <c r="N64" s="230"/>
      <c r="O64" s="230"/>
      <c r="P64" s="66"/>
      <c r="Q64" s="171">
        <f>P65</f>
        <v>480000</v>
      </c>
      <c r="R64" s="171">
        <v>1320000</v>
      </c>
      <c r="S64" s="171">
        <f>Q64-R64</f>
        <v>-840000</v>
      </c>
      <c r="T64" s="172">
        <f t="shared" si="3"/>
        <v>-0.63636363636363635</v>
      </c>
    </row>
    <row r="65" spans="1:24" ht="14.45" customHeight="1">
      <c r="A65" s="224"/>
      <c r="B65" s="225"/>
      <c r="C65" s="226"/>
      <c r="D65" s="225"/>
      <c r="E65" s="226"/>
      <c r="F65" s="231" t="s">
        <v>814</v>
      </c>
      <c r="G65" s="249"/>
      <c r="H65" s="240"/>
      <c r="I65" s="1391"/>
      <c r="J65" s="240"/>
      <c r="K65" s="240"/>
      <c r="L65" s="250"/>
      <c r="M65" s="240"/>
      <c r="N65" s="244"/>
      <c r="O65" s="244"/>
      <c r="P65" s="251">
        <f>SUM(P66:P66)</f>
        <v>480000</v>
      </c>
      <c r="Q65" s="235"/>
      <c r="R65" s="997"/>
      <c r="S65" s="235"/>
      <c r="T65" s="246"/>
    </row>
    <row r="66" spans="1:24" ht="14.45" customHeight="1">
      <c r="A66" s="224"/>
      <c r="B66" s="225"/>
      <c r="C66" s="226"/>
      <c r="D66" s="225"/>
      <c r="E66" s="1399"/>
      <c r="F66" s="238" t="s">
        <v>815</v>
      </c>
      <c r="G66" s="252">
        <v>40000</v>
      </c>
      <c r="H66" s="240" t="s">
        <v>273</v>
      </c>
      <c r="I66" s="242">
        <v>12</v>
      </c>
      <c r="J66" s="240"/>
      <c r="K66" s="242"/>
      <c r="L66" s="243"/>
      <c r="M66" s="242"/>
      <c r="N66" s="244"/>
      <c r="O66" s="244" t="s">
        <v>274</v>
      </c>
      <c r="P66" s="245">
        <f>ROUNDUP(G66*I66,-3)</f>
        <v>480000</v>
      </c>
      <c r="Q66" s="235"/>
      <c r="R66" s="997"/>
      <c r="S66" s="235"/>
      <c r="T66" s="246"/>
    </row>
    <row r="67" spans="1:24" ht="14.45" customHeight="1">
      <c r="A67" s="224"/>
      <c r="B67" s="225"/>
      <c r="C67" s="226"/>
      <c r="D67" s="225"/>
      <c r="E67" s="255" t="s">
        <v>816</v>
      </c>
      <c r="F67" s="227"/>
      <c r="G67" s="228"/>
      <c r="H67" s="66"/>
      <c r="I67" s="1384"/>
      <c r="J67" s="66"/>
      <c r="K67" s="66"/>
      <c r="L67" s="229"/>
      <c r="M67" s="66"/>
      <c r="N67" s="230"/>
      <c r="O67" s="230"/>
      <c r="P67" s="66"/>
      <c r="Q67" s="171">
        <f>P68</f>
        <v>320000</v>
      </c>
      <c r="R67" s="171">
        <v>600000</v>
      </c>
      <c r="S67" s="171">
        <f>Q67-R67</f>
        <v>-280000</v>
      </c>
      <c r="T67" s="172">
        <f t="shared" ref="T67:T89" si="4">S67/R67</f>
        <v>-0.46666666666666667</v>
      </c>
    </row>
    <row r="68" spans="1:24" ht="14.45" customHeight="1">
      <c r="A68" s="224"/>
      <c r="B68" s="225"/>
      <c r="C68" s="226"/>
      <c r="D68" s="225"/>
      <c r="E68" s="521"/>
      <c r="F68" s="231" t="s">
        <v>817</v>
      </c>
      <c r="G68" s="249"/>
      <c r="H68" s="240"/>
      <c r="I68" s="1391"/>
      <c r="J68" s="240"/>
      <c r="K68" s="240"/>
      <c r="L68" s="250"/>
      <c r="M68" s="240"/>
      <c r="N68" s="244"/>
      <c r="O68" s="244"/>
      <c r="P68" s="251">
        <f>SUM(P69:P69)</f>
        <v>320000</v>
      </c>
      <c r="Q68" s="235"/>
      <c r="R68" s="997"/>
      <c r="S68" s="235"/>
      <c r="T68" s="246"/>
    </row>
    <row r="69" spans="1:24" ht="14.45" customHeight="1">
      <c r="A69" s="224"/>
      <c r="B69" s="225"/>
      <c r="C69" s="226"/>
      <c r="D69" s="225"/>
      <c r="E69" s="1400"/>
      <c r="F69" s="578" t="s">
        <v>818</v>
      </c>
      <c r="G69" s="579">
        <v>80000</v>
      </c>
      <c r="H69" s="283" t="s">
        <v>273</v>
      </c>
      <c r="I69" s="1401">
        <v>4</v>
      </c>
      <c r="J69" s="283"/>
      <c r="K69" s="284"/>
      <c r="L69" s="1402"/>
      <c r="M69" s="284"/>
      <c r="N69" s="285"/>
      <c r="O69" s="285" t="s">
        <v>274</v>
      </c>
      <c r="P69" s="286">
        <f>ROUNDUP(G69*I69,-3)</f>
        <v>320000</v>
      </c>
      <c r="Q69" s="287"/>
      <c r="R69" s="1027"/>
      <c r="S69" s="287"/>
      <c r="T69" s="288"/>
    </row>
    <row r="70" spans="1:24" s="192" customFormat="1" ht="14.45" customHeight="1">
      <c r="A70" s="204"/>
      <c r="B70" s="222"/>
      <c r="C70" s="223"/>
      <c r="D70" s="222"/>
      <c r="E70" s="363" t="s">
        <v>819</v>
      </c>
      <c r="F70" s="364"/>
      <c r="G70" s="365"/>
      <c r="H70" s="363"/>
      <c r="I70" s="1403"/>
      <c r="J70" s="363"/>
      <c r="K70" s="363"/>
      <c r="L70" s="366"/>
      <c r="M70" s="363"/>
      <c r="N70" s="367"/>
      <c r="O70" s="367"/>
      <c r="P70" s="363"/>
      <c r="Q70" s="188">
        <f>P71</f>
        <v>1000000</v>
      </c>
      <c r="R70" s="188">
        <v>2000000</v>
      </c>
      <c r="S70" s="188">
        <f>Q70-R70</f>
        <v>-1000000</v>
      </c>
      <c r="T70" s="570">
        <f t="shared" si="4"/>
        <v>-0.5</v>
      </c>
    </row>
    <row r="71" spans="1:24" ht="14.45" customHeight="1">
      <c r="A71" s="224"/>
      <c r="B71" s="225"/>
      <c r="C71" s="226"/>
      <c r="D71" s="225"/>
      <c r="E71" s="226"/>
      <c r="F71" s="231" t="s">
        <v>820</v>
      </c>
      <c r="G71" s="249"/>
      <c r="H71" s="240"/>
      <c r="I71" s="1391"/>
      <c r="J71" s="240"/>
      <c r="K71" s="240"/>
      <c r="L71" s="250"/>
      <c r="M71" s="240"/>
      <c r="N71" s="244"/>
      <c r="O71" s="244"/>
      <c r="P71" s="251">
        <f>SUM(P72:P72)</f>
        <v>1000000</v>
      </c>
      <c r="Q71" s="235"/>
      <c r="R71" s="997"/>
      <c r="S71" s="235"/>
      <c r="T71" s="246"/>
    </row>
    <row r="72" spans="1:24" ht="14.45" customHeight="1">
      <c r="A72" s="224"/>
      <c r="B72" s="225"/>
      <c r="C72" s="226"/>
      <c r="D72" s="225"/>
      <c r="E72" s="237"/>
      <c r="F72" s="238" t="s">
        <v>821</v>
      </c>
      <c r="G72" s="252">
        <v>500000</v>
      </c>
      <c r="H72" s="240" t="s">
        <v>282</v>
      </c>
      <c r="I72" s="1819">
        <v>2</v>
      </c>
      <c r="J72" s="240"/>
      <c r="K72" s="242"/>
      <c r="L72" s="243"/>
      <c r="M72" s="242"/>
      <c r="N72" s="244"/>
      <c r="O72" s="244" t="s">
        <v>281</v>
      </c>
      <c r="P72" s="245">
        <f>ROUNDUP(G72*I72,-3)</f>
        <v>1000000</v>
      </c>
      <c r="Q72" s="235"/>
      <c r="R72" s="997"/>
      <c r="S72" s="235"/>
      <c r="T72" s="246"/>
      <c r="X72" s="275">
        <f>G72/2</f>
        <v>250000</v>
      </c>
    </row>
    <row r="73" spans="1:24" s="192" customFormat="1" ht="14.45" customHeight="1">
      <c r="A73" s="204"/>
      <c r="B73" s="222"/>
      <c r="C73" s="223"/>
      <c r="D73" s="222"/>
      <c r="E73" s="66" t="s">
        <v>822</v>
      </c>
      <c r="F73" s="227"/>
      <c r="G73" s="228"/>
      <c r="H73" s="66"/>
      <c r="I73" s="1384"/>
      <c r="J73" s="66"/>
      <c r="K73" s="66"/>
      <c r="L73" s="229"/>
      <c r="M73" s="66"/>
      <c r="N73" s="230"/>
      <c r="O73" s="230"/>
      <c r="P73" s="66"/>
      <c r="Q73" s="171">
        <f>P74</f>
        <v>2400000</v>
      </c>
      <c r="R73" s="171">
        <v>1980000</v>
      </c>
      <c r="S73" s="171">
        <f>Q73-R73</f>
        <v>420000</v>
      </c>
      <c r="T73" s="172">
        <f t="shared" si="4"/>
        <v>0.21212121212121213</v>
      </c>
    </row>
    <row r="74" spans="1:24" ht="14.45" customHeight="1">
      <c r="A74" s="224"/>
      <c r="B74" s="225"/>
      <c r="C74" s="226"/>
      <c r="D74" s="225"/>
      <c r="E74" s="226"/>
      <c r="F74" s="231" t="s">
        <v>823</v>
      </c>
      <c r="G74" s="249"/>
      <c r="H74" s="240"/>
      <c r="I74" s="1391"/>
      <c r="J74" s="240"/>
      <c r="K74" s="240"/>
      <c r="L74" s="250"/>
      <c r="M74" s="240"/>
      <c r="N74" s="244"/>
      <c r="O74" s="244"/>
      <c r="P74" s="251">
        <f>SUM(P75:P75)</f>
        <v>2400000</v>
      </c>
      <c r="Q74" s="235"/>
      <c r="R74" s="997"/>
      <c r="S74" s="235"/>
      <c r="T74" s="246"/>
    </row>
    <row r="75" spans="1:24" ht="14.45" customHeight="1">
      <c r="A75" s="224"/>
      <c r="B75" s="225"/>
      <c r="C75" s="226"/>
      <c r="D75" s="225"/>
      <c r="E75" s="237"/>
      <c r="F75" s="238" t="s">
        <v>671</v>
      </c>
      <c r="G75" s="252">
        <v>200000</v>
      </c>
      <c r="H75" s="240" t="s">
        <v>273</v>
      </c>
      <c r="I75" s="1404">
        <v>1</v>
      </c>
      <c r="J75" s="240" t="s">
        <v>109</v>
      </c>
      <c r="K75" s="242">
        <v>12</v>
      </c>
      <c r="L75" s="243"/>
      <c r="M75" s="242"/>
      <c r="N75" s="244"/>
      <c r="O75" s="244" t="s">
        <v>283</v>
      </c>
      <c r="P75" s="1143">
        <f>ROUNDUP(G75*I75*K75,-3)</f>
        <v>2400000</v>
      </c>
      <c r="Q75" s="235"/>
      <c r="R75" s="997"/>
      <c r="S75" s="235"/>
      <c r="T75" s="246"/>
    </row>
    <row r="76" spans="1:24" s="192" customFormat="1" ht="14.45" customHeight="1">
      <c r="A76" s="1035"/>
      <c r="B76" s="1342"/>
      <c r="C76" s="206"/>
      <c r="D76" s="1342"/>
      <c r="E76" s="66" t="s">
        <v>410</v>
      </c>
      <c r="F76" s="227"/>
      <c r="G76" s="228"/>
      <c r="H76" s="66"/>
      <c r="I76" s="1384"/>
      <c r="J76" s="66"/>
      <c r="K76" s="66"/>
      <c r="L76" s="229"/>
      <c r="M76" s="66"/>
      <c r="N76" s="230"/>
      <c r="O76" s="230"/>
      <c r="P76" s="1405"/>
      <c r="Q76" s="171">
        <v>0</v>
      </c>
      <c r="R76" s="171">
        <v>4056000</v>
      </c>
      <c r="S76" s="171">
        <f>Q76-R76</f>
        <v>-4056000</v>
      </c>
      <c r="T76" s="172">
        <f t="shared" ref="T76" si="5">S76/R76</f>
        <v>-1</v>
      </c>
    </row>
    <row r="77" spans="1:24" s="192" customFormat="1" ht="14.25" customHeight="1">
      <c r="A77" s="204"/>
      <c r="B77" s="222"/>
      <c r="C77" s="223"/>
      <c r="D77" s="222"/>
      <c r="E77" s="363" t="s">
        <v>824</v>
      </c>
      <c r="F77" s="364"/>
      <c r="G77" s="365"/>
      <c r="H77" s="363"/>
      <c r="I77" s="1403"/>
      <c r="J77" s="363"/>
      <c r="K77" s="363"/>
      <c r="L77" s="366"/>
      <c r="M77" s="363"/>
      <c r="N77" s="367"/>
      <c r="O77" s="367"/>
      <c r="P77" s="363"/>
      <c r="Q77" s="171">
        <v>0</v>
      </c>
      <c r="R77" s="171">
        <v>800000</v>
      </c>
      <c r="S77" s="171">
        <f>Q77-R77</f>
        <v>-800000</v>
      </c>
      <c r="T77" s="172">
        <f t="shared" ref="T77" si="6">S77/R77</f>
        <v>-1</v>
      </c>
    </row>
    <row r="78" spans="1:24" s="192" customFormat="1" ht="14.25" customHeight="1">
      <c r="A78" s="204"/>
      <c r="B78" s="222"/>
      <c r="C78" s="223"/>
      <c r="D78" s="222"/>
      <c r="E78" s="66" t="s">
        <v>826</v>
      </c>
      <c r="F78" s="227"/>
      <c r="G78" s="228"/>
      <c r="H78" s="66"/>
      <c r="I78" s="1384"/>
      <c r="J78" s="66"/>
      <c r="K78" s="66"/>
      <c r="L78" s="229"/>
      <c r="M78" s="66"/>
      <c r="N78" s="230"/>
      <c r="O78" s="230"/>
      <c r="P78" s="66"/>
      <c r="Q78" s="171">
        <f>P79</f>
        <v>1056000</v>
      </c>
      <c r="R78" s="171">
        <v>0</v>
      </c>
      <c r="S78" s="171">
        <f>Q78-R78</f>
        <v>1056000</v>
      </c>
      <c r="T78" s="172">
        <v>1</v>
      </c>
    </row>
    <row r="79" spans="1:24" ht="14.25" customHeight="1">
      <c r="A79" s="224"/>
      <c r="B79" s="225"/>
      <c r="C79" s="226"/>
      <c r="D79" s="225"/>
      <c r="E79" s="226"/>
      <c r="F79" s="231" t="s">
        <v>447</v>
      </c>
      <c r="G79" s="249"/>
      <c r="H79" s="240"/>
      <c r="I79" s="1391"/>
      <c r="J79" s="240"/>
      <c r="K79" s="240"/>
      <c r="L79" s="250"/>
      <c r="M79" s="240"/>
      <c r="N79" s="244"/>
      <c r="O79" s="244"/>
      <c r="P79" s="251">
        <f>SUM(P80)</f>
        <v>1056000</v>
      </c>
      <c r="Q79" s="235"/>
      <c r="R79" s="997"/>
      <c r="S79" s="235"/>
      <c r="T79" s="246"/>
    </row>
    <row r="80" spans="1:24" ht="14.25" customHeight="1">
      <c r="A80" s="224"/>
      <c r="B80" s="225"/>
      <c r="C80" s="226"/>
      <c r="D80" s="225"/>
      <c r="E80" s="237"/>
      <c r="F80" s="238" t="s">
        <v>827</v>
      </c>
      <c r="G80" s="252">
        <v>88000</v>
      </c>
      <c r="H80" s="240" t="s">
        <v>273</v>
      </c>
      <c r="I80" s="1406">
        <v>12</v>
      </c>
      <c r="J80" s="240"/>
      <c r="K80" s="242"/>
      <c r="L80" s="243"/>
      <c r="M80" s="242"/>
      <c r="N80" s="244"/>
      <c r="O80" s="244" t="s">
        <v>274</v>
      </c>
      <c r="P80" s="245">
        <f>ROUNDUP(G80*I80,-3)</f>
        <v>1056000</v>
      </c>
      <c r="Q80" s="235"/>
      <c r="R80" s="997"/>
      <c r="S80" s="235"/>
      <c r="T80" s="246"/>
    </row>
    <row r="81" spans="1:23" s="192" customFormat="1" ht="14.25" customHeight="1">
      <c r="A81" s="204"/>
      <c r="B81" s="222"/>
      <c r="C81" s="223"/>
      <c r="D81" s="222"/>
      <c r="E81" s="66" t="s">
        <v>448</v>
      </c>
      <c r="F81" s="227"/>
      <c r="G81" s="228"/>
      <c r="H81" s="66"/>
      <c r="I81" s="1384"/>
      <c r="J81" s="66"/>
      <c r="K81" s="66"/>
      <c r="L81" s="229"/>
      <c r="M81" s="66"/>
      <c r="N81" s="230"/>
      <c r="O81" s="230"/>
      <c r="P81" s="66"/>
      <c r="Q81" s="171">
        <f>P82</f>
        <v>3000000</v>
      </c>
      <c r="R81" s="171">
        <v>1200000</v>
      </c>
      <c r="S81" s="171">
        <f>Q81-R81</f>
        <v>1800000</v>
      </c>
      <c r="T81" s="172">
        <f t="shared" si="4"/>
        <v>1.5</v>
      </c>
    </row>
    <row r="82" spans="1:23" ht="14.25" customHeight="1">
      <c r="A82" s="224"/>
      <c r="B82" s="225"/>
      <c r="C82" s="226"/>
      <c r="D82" s="225"/>
      <c r="E82" s="226"/>
      <c r="F82" s="231" t="s">
        <v>828</v>
      </c>
      <c r="G82" s="249"/>
      <c r="H82" s="240"/>
      <c r="I82" s="1391"/>
      <c r="J82" s="240"/>
      <c r="K82" s="240"/>
      <c r="L82" s="250"/>
      <c r="M82" s="240"/>
      <c r="N82" s="244"/>
      <c r="O82" s="244"/>
      <c r="P82" s="251">
        <f>SUM(P83:P84)</f>
        <v>3000000</v>
      </c>
      <c r="Q82" s="235"/>
      <c r="R82" s="997"/>
      <c r="S82" s="235"/>
      <c r="T82" s="246"/>
      <c r="W82" s="236"/>
    </row>
    <row r="83" spans="1:23" ht="14.25" customHeight="1">
      <c r="A83" s="224"/>
      <c r="B83" s="225"/>
      <c r="C83" s="226"/>
      <c r="D83" s="225"/>
      <c r="E83" s="237"/>
      <c r="F83" s="238" t="s">
        <v>449</v>
      </c>
      <c r="G83" s="252">
        <v>100000</v>
      </c>
      <c r="H83" s="240" t="s">
        <v>277</v>
      </c>
      <c r="I83" s="1406">
        <v>12</v>
      </c>
      <c r="J83" s="240"/>
      <c r="K83" s="242"/>
      <c r="L83" s="243"/>
      <c r="M83" s="242"/>
      <c r="N83" s="244"/>
      <c r="O83" s="244" t="s">
        <v>274</v>
      </c>
      <c r="P83" s="245">
        <f>ROUNDUP(G83*I83,-3)</f>
        <v>1200000</v>
      </c>
      <c r="Q83" s="235"/>
      <c r="R83" s="997"/>
      <c r="S83" s="235"/>
      <c r="T83" s="246"/>
    </row>
    <row r="84" spans="1:23" ht="14.25" customHeight="1">
      <c r="A84" s="224"/>
      <c r="B84" s="225"/>
      <c r="C84" s="226"/>
      <c r="D84" s="225"/>
      <c r="E84" s="577"/>
      <c r="F84" s="578" t="s">
        <v>539</v>
      </c>
      <c r="G84" s="282">
        <v>150000</v>
      </c>
      <c r="H84" s="283" t="s">
        <v>273</v>
      </c>
      <c r="I84" s="284">
        <v>12</v>
      </c>
      <c r="J84" s="283"/>
      <c r="K84" s="284"/>
      <c r="L84" s="1402"/>
      <c r="M84" s="284"/>
      <c r="N84" s="285"/>
      <c r="O84" s="285" t="s">
        <v>274</v>
      </c>
      <c r="P84" s="1407">
        <f>ROUNDUP(G84*I84,-3)</f>
        <v>1800000</v>
      </c>
      <c r="Q84" s="287"/>
      <c r="R84" s="1027"/>
      <c r="S84" s="287"/>
      <c r="T84" s="288"/>
    </row>
    <row r="85" spans="1:23" s="192" customFormat="1" ht="14.25" customHeight="1">
      <c r="A85" s="204"/>
      <c r="B85" s="222"/>
      <c r="C85" s="223"/>
      <c r="D85" s="222"/>
      <c r="E85" s="363" t="s">
        <v>829</v>
      </c>
      <c r="F85" s="364"/>
      <c r="G85" s="365"/>
      <c r="H85" s="363"/>
      <c r="I85" s="1403"/>
      <c r="J85" s="363"/>
      <c r="K85" s="363"/>
      <c r="L85" s="366"/>
      <c r="M85" s="363"/>
      <c r="N85" s="367"/>
      <c r="O85" s="367"/>
      <c r="P85" s="363"/>
      <c r="Q85" s="188">
        <f>P86</f>
        <v>1520000</v>
      </c>
      <c r="R85" s="188">
        <v>2720000</v>
      </c>
      <c r="S85" s="188">
        <f>Q85-R85</f>
        <v>-1200000</v>
      </c>
      <c r="T85" s="570">
        <f t="shared" si="4"/>
        <v>-0.44117647058823528</v>
      </c>
    </row>
    <row r="86" spans="1:23" ht="14.25" customHeight="1">
      <c r="A86" s="224"/>
      <c r="B86" s="225"/>
      <c r="C86" s="226"/>
      <c r="D86" s="225"/>
      <c r="E86" s="226"/>
      <c r="F86" s="231" t="s">
        <v>452</v>
      </c>
      <c r="G86" s="249"/>
      <c r="H86" s="240"/>
      <c r="I86" s="1391"/>
      <c r="J86" s="240"/>
      <c r="K86" s="240"/>
      <c r="L86" s="250"/>
      <c r="M86" s="240"/>
      <c r="N86" s="244"/>
      <c r="O86" s="244"/>
      <c r="P86" s="251">
        <f>SUM(P87:P88)</f>
        <v>1520000</v>
      </c>
      <c r="Q86" s="235"/>
      <c r="R86" s="997"/>
      <c r="S86" s="235"/>
      <c r="T86" s="246"/>
    </row>
    <row r="87" spans="1:23" ht="14.25" customHeight="1">
      <c r="A87" s="224"/>
      <c r="B87" s="225"/>
      <c r="C87" s="226"/>
      <c r="D87" s="225"/>
      <c r="E87" s="237"/>
      <c r="F87" s="238" t="s">
        <v>830</v>
      </c>
      <c r="G87" s="252">
        <v>100000</v>
      </c>
      <c r="H87" s="240" t="s">
        <v>282</v>
      </c>
      <c r="I87" s="1406">
        <v>12</v>
      </c>
      <c r="J87" s="240"/>
      <c r="K87" s="242"/>
      <c r="L87" s="243"/>
      <c r="M87" s="242"/>
      <c r="N87" s="244"/>
      <c r="O87" s="244" t="s">
        <v>274</v>
      </c>
      <c r="P87" s="245">
        <f>ROUNDUP(G87*I87,-3)</f>
        <v>1200000</v>
      </c>
      <c r="Q87" s="235"/>
      <c r="R87" s="997"/>
      <c r="S87" s="235"/>
      <c r="T87" s="246"/>
    </row>
    <row r="88" spans="1:23" ht="14.25" customHeight="1">
      <c r="A88" s="224"/>
      <c r="B88" s="225"/>
      <c r="C88" s="226"/>
      <c r="D88" s="225"/>
      <c r="E88" s="237"/>
      <c r="F88" s="238" t="s">
        <v>764</v>
      </c>
      <c r="G88" s="249">
        <v>80000</v>
      </c>
      <c r="H88" s="240" t="s">
        <v>273</v>
      </c>
      <c r="I88" s="1398">
        <v>4</v>
      </c>
      <c r="J88" s="240"/>
      <c r="K88" s="242"/>
      <c r="L88" s="243"/>
      <c r="M88" s="242"/>
      <c r="N88" s="244"/>
      <c r="O88" s="244" t="s">
        <v>274</v>
      </c>
      <c r="P88" s="245">
        <f>ROUNDUP(G88*I88,-3)</f>
        <v>320000</v>
      </c>
      <c r="Q88" s="235"/>
      <c r="R88" s="997"/>
      <c r="S88" s="235"/>
      <c r="T88" s="246"/>
    </row>
    <row r="89" spans="1:23" s="192" customFormat="1" ht="14.25" customHeight="1">
      <c r="A89" s="204"/>
      <c r="B89" s="222"/>
      <c r="C89" s="223"/>
      <c r="D89" s="222"/>
      <c r="E89" s="66" t="s">
        <v>455</v>
      </c>
      <c r="F89" s="227"/>
      <c r="G89" s="228"/>
      <c r="H89" s="66"/>
      <c r="I89" s="1384"/>
      <c r="J89" s="66"/>
      <c r="K89" s="66"/>
      <c r="L89" s="229"/>
      <c r="M89" s="66"/>
      <c r="N89" s="230"/>
      <c r="O89" s="230"/>
      <c r="P89" s="66"/>
      <c r="Q89" s="171">
        <f>P90</f>
        <v>1200000</v>
      </c>
      <c r="R89" s="171">
        <v>800000</v>
      </c>
      <c r="S89" s="171">
        <f>Q89-R89</f>
        <v>400000</v>
      </c>
      <c r="T89" s="172">
        <f t="shared" si="4"/>
        <v>0.5</v>
      </c>
    </row>
    <row r="90" spans="1:23" ht="14.25" customHeight="1">
      <c r="A90" s="224"/>
      <c r="B90" s="225"/>
      <c r="C90" s="226"/>
      <c r="D90" s="225"/>
      <c r="E90" s="226"/>
      <c r="F90" s="231" t="s">
        <v>831</v>
      </c>
      <c r="G90" s="249"/>
      <c r="H90" s="240"/>
      <c r="I90" s="1391"/>
      <c r="J90" s="240"/>
      <c r="K90" s="240"/>
      <c r="L90" s="250"/>
      <c r="M90" s="240"/>
      <c r="N90" s="244"/>
      <c r="O90" s="244"/>
      <c r="P90" s="251">
        <f>SUM(P91:P91)</f>
        <v>1200000</v>
      </c>
      <c r="Q90" s="235"/>
      <c r="R90" s="997"/>
      <c r="S90" s="235"/>
      <c r="T90" s="246"/>
    </row>
    <row r="91" spans="1:23" ht="14.25" customHeight="1">
      <c r="A91" s="224"/>
      <c r="B91" s="225"/>
      <c r="C91" s="226"/>
      <c r="D91" s="225"/>
      <c r="E91" s="237"/>
      <c r="F91" s="238" t="s">
        <v>832</v>
      </c>
      <c r="G91" s="252">
        <v>300000</v>
      </c>
      <c r="H91" s="240" t="s">
        <v>273</v>
      </c>
      <c r="I91" s="1398">
        <v>4</v>
      </c>
      <c r="J91" s="240"/>
      <c r="K91" s="242"/>
      <c r="L91" s="243"/>
      <c r="M91" s="242"/>
      <c r="N91" s="244"/>
      <c r="O91" s="244" t="s">
        <v>283</v>
      </c>
      <c r="P91" s="245">
        <f>ROUNDUP(G91*I91,-3)</f>
        <v>1200000</v>
      </c>
      <c r="Q91" s="235"/>
      <c r="R91" s="997"/>
      <c r="S91" s="235"/>
      <c r="T91" s="246"/>
    </row>
    <row r="92" spans="1:23" s="824" customFormat="1" ht="14.25" customHeight="1">
      <c r="A92" s="1408"/>
      <c r="B92" s="848"/>
      <c r="C92" s="848"/>
      <c r="D92" s="848"/>
      <c r="E92" s="861" t="s">
        <v>833</v>
      </c>
      <c r="F92" s="1191"/>
      <c r="G92" s="862"/>
      <c r="H92" s="861"/>
      <c r="I92" s="861"/>
      <c r="J92" s="861"/>
      <c r="K92" s="861"/>
      <c r="L92" s="1192"/>
      <c r="M92" s="861"/>
      <c r="N92" s="863"/>
      <c r="O92" s="863"/>
      <c r="P92" s="861"/>
      <c r="Q92" s="374">
        <f>P93</f>
        <v>880000</v>
      </c>
      <c r="R92" s="374">
        <v>0</v>
      </c>
      <c r="S92" s="374">
        <f>Q92-R92</f>
        <v>880000</v>
      </c>
      <c r="T92" s="864">
        <v>1</v>
      </c>
    </row>
    <row r="93" spans="1:23" s="826" customFormat="1" ht="14.25" customHeight="1">
      <c r="A93" s="1286"/>
      <c r="B93" s="858"/>
      <c r="C93" s="858"/>
      <c r="D93" s="858"/>
      <c r="E93" s="1287"/>
      <c r="F93" s="1288" t="s">
        <v>834</v>
      </c>
      <c r="G93" s="1275"/>
      <c r="H93" s="1276"/>
      <c r="I93" s="1276"/>
      <c r="J93" s="1276"/>
      <c r="K93" s="1276"/>
      <c r="L93" s="1277"/>
      <c r="M93" s="1276"/>
      <c r="N93" s="1278"/>
      <c r="O93" s="1278"/>
      <c r="P93" s="1279">
        <f>SUM(P94:P94)</f>
        <v>880000</v>
      </c>
      <c r="Q93" s="382"/>
      <c r="R93" s="1280"/>
      <c r="S93" s="1280"/>
      <c r="T93" s="1289"/>
    </row>
    <row r="94" spans="1:23" s="826" customFormat="1" ht="14.25" customHeight="1">
      <c r="A94" s="1286"/>
      <c r="B94" s="858"/>
      <c r="C94" s="858"/>
      <c r="D94" s="858"/>
      <c r="E94" s="340"/>
      <c r="F94" s="1290" t="s">
        <v>835</v>
      </c>
      <c r="G94" s="871">
        <v>880000</v>
      </c>
      <c r="H94" s="339" t="s">
        <v>109</v>
      </c>
      <c r="I94" s="1409">
        <v>1</v>
      </c>
      <c r="J94" s="339" t="s">
        <v>109</v>
      </c>
      <c r="K94" s="872">
        <v>1</v>
      </c>
      <c r="L94" s="1205"/>
      <c r="M94" s="1204"/>
      <c r="N94" s="866"/>
      <c r="O94" s="866" t="s">
        <v>110</v>
      </c>
      <c r="P94" s="873">
        <f>G94*I94*K94</f>
        <v>880000</v>
      </c>
      <c r="Q94" s="388"/>
      <c r="R94" s="868"/>
      <c r="S94" s="868"/>
      <c r="T94" s="869"/>
    </row>
    <row r="95" spans="1:23" s="192" customFormat="1" ht="14.25" customHeight="1">
      <c r="A95" s="204"/>
      <c r="B95" s="222"/>
      <c r="C95" s="223"/>
      <c r="D95" s="222"/>
      <c r="E95" s="66" t="s">
        <v>457</v>
      </c>
      <c r="F95" s="227"/>
      <c r="G95" s="228"/>
      <c r="H95" s="66"/>
      <c r="I95" s="1384"/>
      <c r="J95" s="66"/>
      <c r="K95" s="66"/>
      <c r="L95" s="229"/>
      <c r="M95" s="66"/>
      <c r="N95" s="230"/>
      <c r="O95" s="230"/>
      <c r="P95" s="66"/>
      <c r="Q95" s="171">
        <f>P96</f>
        <v>1200000</v>
      </c>
      <c r="R95" s="171">
        <v>1000000</v>
      </c>
      <c r="S95" s="171">
        <f>Q95-R95</f>
        <v>200000</v>
      </c>
      <c r="T95" s="172">
        <f t="shared" ref="T95:T125" si="7">S95/R95</f>
        <v>0.2</v>
      </c>
    </row>
    <row r="96" spans="1:23" ht="14.25" customHeight="1">
      <c r="A96" s="224"/>
      <c r="B96" s="225"/>
      <c r="C96" s="226"/>
      <c r="D96" s="225"/>
      <c r="E96" s="226"/>
      <c r="F96" s="231" t="s">
        <v>2853</v>
      </c>
      <c r="G96" s="249"/>
      <c r="H96" s="240"/>
      <c r="I96" s="1391"/>
      <c r="J96" s="240"/>
      <c r="K96" s="240"/>
      <c r="L96" s="250"/>
      <c r="M96" s="240"/>
      <c r="N96" s="244"/>
      <c r="O96" s="244"/>
      <c r="P96" s="251">
        <f>SUM(P97:P97)</f>
        <v>1200000</v>
      </c>
      <c r="Q96" s="235"/>
      <c r="R96" s="997"/>
      <c r="S96" s="235"/>
      <c r="T96" s="246"/>
    </row>
    <row r="97" spans="1:24" ht="14.25" customHeight="1">
      <c r="A97" s="224"/>
      <c r="B97" s="225"/>
      <c r="C97" s="226"/>
      <c r="D97" s="225"/>
      <c r="E97" s="237"/>
      <c r="F97" s="238" t="s">
        <v>836</v>
      </c>
      <c r="G97" s="252">
        <v>1200000</v>
      </c>
      <c r="H97" s="240" t="s">
        <v>282</v>
      </c>
      <c r="I97" s="1404">
        <v>1</v>
      </c>
      <c r="J97" s="240"/>
      <c r="K97" s="242"/>
      <c r="L97" s="243"/>
      <c r="M97" s="242"/>
      <c r="N97" s="244"/>
      <c r="O97" s="244" t="s">
        <v>274</v>
      </c>
      <c r="P97" s="245">
        <f>ROUNDUP(G97*I97,-3)</f>
        <v>1200000</v>
      </c>
      <c r="Q97" s="235"/>
      <c r="R97" s="997"/>
      <c r="S97" s="235"/>
      <c r="T97" s="246"/>
    </row>
    <row r="98" spans="1:24" ht="14.25" customHeight="1">
      <c r="A98" s="224"/>
      <c r="B98" s="222"/>
      <c r="C98" s="214" t="s">
        <v>837</v>
      </c>
      <c r="D98" s="266"/>
      <c r="E98" s="214"/>
      <c r="F98" s="215"/>
      <c r="G98" s="994"/>
      <c r="H98" s="214"/>
      <c r="I98" s="1382"/>
      <c r="J98" s="214"/>
      <c r="K98" s="214"/>
      <c r="L98" s="518"/>
      <c r="M98" s="214"/>
      <c r="N98" s="202"/>
      <c r="O98" s="202"/>
      <c r="P98" s="214"/>
      <c r="Q98" s="995">
        <f>Q99+Q100</f>
        <v>102000000</v>
      </c>
      <c r="R98" s="995">
        <f>R99+R100</f>
        <v>15000000</v>
      </c>
      <c r="S98" s="995">
        <f>Q98-R98</f>
        <v>87000000</v>
      </c>
      <c r="T98" s="996">
        <f t="shared" si="7"/>
        <v>5.8</v>
      </c>
    </row>
    <row r="99" spans="1:24" s="826" customFormat="1" ht="14.25" customHeight="1">
      <c r="A99" s="857"/>
      <c r="B99" s="848"/>
      <c r="C99" s="856"/>
      <c r="D99" s="1410" t="s">
        <v>268</v>
      </c>
      <c r="E99" s="1411"/>
      <c r="F99" s="1411"/>
      <c r="G99" s="1412"/>
      <c r="H99" s="1411"/>
      <c r="I99" s="1411"/>
      <c r="J99" s="1411"/>
      <c r="K99" s="1411"/>
      <c r="L99" s="1413"/>
      <c r="M99" s="1411"/>
      <c r="N99" s="1414"/>
      <c r="O99" s="1414"/>
      <c r="P99" s="1411"/>
      <c r="Q99" s="1415">
        <v>0</v>
      </c>
      <c r="R99" s="1778">
        <v>0</v>
      </c>
      <c r="S99" s="1778">
        <v>0</v>
      </c>
      <c r="T99" s="1416">
        <v>0</v>
      </c>
    </row>
    <row r="100" spans="1:24" ht="14.25" customHeight="1">
      <c r="A100" s="224"/>
      <c r="B100" s="222"/>
      <c r="C100" s="223"/>
      <c r="D100" s="1417" t="s">
        <v>527</v>
      </c>
      <c r="E100" s="1418"/>
      <c r="F100" s="1419"/>
      <c r="G100" s="1420"/>
      <c r="H100" s="1418"/>
      <c r="I100" s="1421"/>
      <c r="J100" s="1418"/>
      <c r="K100" s="1418"/>
      <c r="L100" s="1422"/>
      <c r="M100" s="1418"/>
      <c r="N100" s="1423"/>
      <c r="O100" s="1423"/>
      <c r="P100" s="1424"/>
      <c r="Q100" s="1425">
        <f>Q101+Q125+Q145</f>
        <v>102000000</v>
      </c>
      <c r="R100" s="1425">
        <f>R101+R125+R145</f>
        <v>15000000</v>
      </c>
      <c r="S100" s="1425">
        <f>S101+S125+S145</f>
        <v>87000000</v>
      </c>
      <c r="T100" s="1426">
        <f t="shared" si="7"/>
        <v>5.8</v>
      </c>
    </row>
    <row r="101" spans="1:24" s="192" customFormat="1" ht="14.25" customHeight="1">
      <c r="A101" s="204"/>
      <c r="B101" s="222"/>
      <c r="C101" s="223"/>
      <c r="D101" s="213"/>
      <c r="E101" s="66" t="s">
        <v>2442</v>
      </c>
      <c r="F101" s="227"/>
      <c r="G101" s="228"/>
      <c r="H101" s="66"/>
      <c r="I101" s="1384"/>
      <c r="J101" s="66"/>
      <c r="K101" s="66"/>
      <c r="L101" s="229"/>
      <c r="M101" s="66"/>
      <c r="N101" s="230"/>
      <c r="O101" s="230"/>
      <c r="P101" s="1427"/>
      <c r="Q101" s="171">
        <f>P103+P109+P112+P120</f>
        <v>27020000</v>
      </c>
      <c r="R101" s="171">
        <v>6000000</v>
      </c>
      <c r="S101" s="171">
        <f>Q101-R101</f>
        <v>21020000</v>
      </c>
      <c r="T101" s="172">
        <f t="shared" si="7"/>
        <v>3.5033333333333334</v>
      </c>
    </row>
    <row r="102" spans="1:24" ht="14.25" customHeight="1">
      <c r="A102" s="224"/>
      <c r="B102" s="225"/>
      <c r="C102" s="226"/>
      <c r="D102" s="225"/>
      <c r="E102" s="339"/>
      <c r="F102" s="1293" t="s">
        <v>838</v>
      </c>
      <c r="G102" s="865"/>
      <c r="H102" s="339"/>
      <c r="I102" s="339"/>
      <c r="J102" s="339"/>
      <c r="K102" s="339"/>
      <c r="L102" s="1216"/>
      <c r="M102" s="339"/>
      <c r="N102" s="866"/>
      <c r="O102" s="866"/>
      <c r="P102" s="251"/>
      <c r="Q102" s="1198"/>
      <c r="R102" s="1198"/>
      <c r="S102" s="1198"/>
      <c r="T102" s="1199"/>
      <c r="X102" s="236"/>
    </row>
    <row r="103" spans="1:24" ht="14.25" customHeight="1">
      <c r="A103" s="224"/>
      <c r="B103" s="225"/>
      <c r="C103" s="226"/>
      <c r="D103" s="225"/>
      <c r="E103" s="237"/>
      <c r="F103" s="231" t="s">
        <v>2281</v>
      </c>
      <c r="G103" s="252"/>
      <c r="H103" s="240"/>
      <c r="I103" s="1409"/>
      <c r="J103" s="240"/>
      <c r="K103" s="242"/>
      <c r="L103" s="243"/>
      <c r="M103" s="242"/>
      <c r="N103" s="244"/>
      <c r="O103" s="244"/>
      <c r="P103" s="251">
        <f>SUM(P104:P108)</f>
        <v>10020000</v>
      </c>
      <c r="Q103" s="235"/>
      <c r="R103" s="997"/>
      <c r="S103" s="235"/>
      <c r="T103" s="246"/>
    </row>
    <row r="104" spans="1:24" ht="14.25" customHeight="1">
      <c r="A104" s="224"/>
      <c r="B104" s="225"/>
      <c r="C104" s="226"/>
      <c r="D104" s="225"/>
      <c r="E104" s="237"/>
      <c r="F104" s="248" t="s">
        <v>2624</v>
      </c>
      <c r="G104" s="252">
        <v>7000</v>
      </c>
      <c r="H104" s="240" t="s">
        <v>273</v>
      </c>
      <c r="I104" s="1398">
        <v>30</v>
      </c>
      <c r="J104" s="240" t="s">
        <v>273</v>
      </c>
      <c r="K104" s="256">
        <v>12</v>
      </c>
      <c r="L104" s="240"/>
      <c r="M104" s="242"/>
      <c r="N104" s="244"/>
      <c r="O104" s="244" t="s">
        <v>274</v>
      </c>
      <c r="P104" s="575">
        <f>G104*I104*K104</f>
        <v>2520000</v>
      </c>
      <c r="Q104" s="235"/>
      <c r="R104" s="997"/>
      <c r="S104" s="235"/>
      <c r="T104" s="246"/>
    </row>
    <row r="105" spans="1:24" ht="14.25" customHeight="1">
      <c r="A105" s="224"/>
      <c r="B105" s="225"/>
      <c r="C105" s="226"/>
      <c r="D105" s="225"/>
      <c r="E105" s="237"/>
      <c r="F105" s="248" t="s">
        <v>2625</v>
      </c>
      <c r="G105" s="252">
        <v>500000</v>
      </c>
      <c r="H105" s="240" t="s">
        <v>273</v>
      </c>
      <c r="I105" s="256">
        <v>5</v>
      </c>
      <c r="J105" s="240"/>
      <c r="K105" s="1122"/>
      <c r="L105" s="240"/>
      <c r="M105" s="242"/>
      <c r="N105" s="244"/>
      <c r="O105" s="244" t="s">
        <v>274</v>
      </c>
      <c r="P105" s="575">
        <f>G105*I105</f>
        <v>2500000</v>
      </c>
      <c r="Q105" s="235"/>
      <c r="R105" s="997"/>
      <c r="S105" s="235"/>
      <c r="T105" s="246"/>
    </row>
    <row r="106" spans="1:24" ht="14.25" customHeight="1">
      <c r="A106" s="224"/>
      <c r="B106" s="225"/>
      <c r="C106" s="226"/>
      <c r="D106" s="225"/>
      <c r="E106" s="237"/>
      <c r="F106" s="248" t="s">
        <v>2626</v>
      </c>
      <c r="G106" s="252">
        <v>20000</v>
      </c>
      <c r="H106" s="240" t="s">
        <v>273</v>
      </c>
      <c r="I106" s="1841">
        <v>100</v>
      </c>
      <c r="J106" s="240"/>
      <c r="K106" s="1122"/>
      <c r="L106" s="240"/>
      <c r="M106" s="242"/>
      <c r="N106" s="244"/>
      <c r="O106" s="244" t="s">
        <v>274</v>
      </c>
      <c r="P106" s="575">
        <f>G106*I106</f>
        <v>2000000</v>
      </c>
      <c r="Q106" s="235"/>
      <c r="R106" s="997"/>
      <c r="S106" s="235"/>
      <c r="T106" s="246"/>
    </row>
    <row r="107" spans="1:24" ht="14.25" customHeight="1">
      <c r="A107" s="224"/>
      <c r="B107" s="225"/>
      <c r="C107" s="226"/>
      <c r="D107" s="225"/>
      <c r="E107" s="237"/>
      <c r="F107" s="248" t="s">
        <v>2627</v>
      </c>
      <c r="G107" s="252">
        <v>20000</v>
      </c>
      <c r="H107" s="240" t="s">
        <v>273</v>
      </c>
      <c r="I107" s="1841">
        <v>100</v>
      </c>
      <c r="J107" s="240"/>
      <c r="K107" s="1122"/>
      <c r="L107" s="240"/>
      <c r="M107" s="242"/>
      <c r="N107" s="244"/>
      <c r="O107" s="244" t="s">
        <v>274</v>
      </c>
      <c r="P107" s="575">
        <f>G107*I107</f>
        <v>2000000</v>
      </c>
      <c r="Q107" s="235"/>
      <c r="R107" s="997"/>
      <c r="S107" s="235"/>
      <c r="T107" s="246"/>
    </row>
    <row r="108" spans="1:24" ht="14.25" customHeight="1">
      <c r="A108" s="224"/>
      <c r="B108" s="225"/>
      <c r="C108" s="226"/>
      <c r="D108" s="225"/>
      <c r="E108" s="237"/>
      <c r="F108" s="248" t="s">
        <v>2628</v>
      </c>
      <c r="G108" s="252">
        <v>1000000</v>
      </c>
      <c r="H108" s="240" t="s">
        <v>273</v>
      </c>
      <c r="I108" s="256">
        <v>1</v>
      </c>
      <c r="J108" s="240"/>
      <c r="K108" s="1122"/>
      <c r="L108" s="240"/>
      <c r="M108" s="242"/>
      <c r="N108" s="244"/>
      <c r="O108" s="244" t="s">
        <v>274</v>
      </c>
      <c r="P108" s="575">
        <f>G108*I108</f>
        <v>1000000</v>
      </c>
      <c r="Q108" s="235"/>
      <c r="R108" s="997"/>
      <c r="S108" s="235"/>
      <c r="T108" s="246"/>
    </row>
    <row r="109" spans="1:24" ht="14.25" customHeight="1">
      <c r="A109" s="224"/>
      <c r="B109" s="225"/>
      <c r="C109" s="226"/>
      <c r="D109" s="225"/>
      <c r="E109" s="237"/>
      <c r="F109" s="231" t="s">
        <v>2282</v>
      </c>
      <c r="G109" s="252"/>
      <c r="H109" s="240"/>
      <c r="I109" s="1409"/>
      <c r="J109" s="240"/>
      <c r="K109" s="242"/>
      <c r="L109" s="243"/>
      <c r="M109" s="242"/>
      <c r="N109" s="244"/>
      <c r="O109" s="244"/>
      <c r="P109" s="251">
        <f>SUM(P110:P111)</f>
        <v>6000000</v>
      </c>
      <c r="Q109" s="235"/>
      <c r="R109" s="997"/>
      <c r="S109" s="235"/>
      <c r="T109" s="246"/>
    </row>
    <row r="110" spans="1:24" ht="14.25" customHeight="1">
      <c r="A110" s="224"/>
      <c r="B110" s="225"/>
      <c r="C110" s="226"/>
      <c r="D110" s="225"/>
      <c r="E110" s="237"/>
      <c r="F110" s="248" t="s">
        <v>2629</v>
      </c>
      <c r="G110" s="252">
        <v>50000</v>
      </c>
      <c r="H110" s="240" t="s">
        <v>273</v>
      </c>
      <c r="I110" s="1398">
        <v>10</v>
      </c>
      <c r="J110" s="240" t="s">
        <v>273</v>
      </c>
      <c r="K110" s="256">
        <v>10</v>
      </c>
      <c r="L110" s="240"/>
      <c r="M110" s="242"/>
      <c r="N110" s="244"/>
      <c r="O110" s="244" t="s">
        <v>274</v>
      </c>
      <c r="P110" s="575">
        <f>G110*I110*K110</f>
        <v>5000000</v>
      </c>
      <c r="Q110" s="235"/>
      <c r="R110" s="997"/>
      <c r="S110" s="235"/>
      <c r="T110" s="246"/>
    </row>
    <row r="111" spans="1:24" ht="14.25" customHeight="1">
      <c r="A111" s="224"/>
      <c r="B111" s="225"/>
      <c r="C111" s="226"/>
      <c r="D111" s="225"/>
      <c r="E111" s="237"/>
      <c r="F111" s="248" t="s">
        <v>2630</v>
      </c>
      <c r="G111" s="252">
        <v>500000</v>
      </c>
      <c r="H111" s="240" t="s">
        <v>273</v>
      </c>
      <c r="I111" s="256">
        <v>2</v>
      </c>
      <c r="J111" s="240"/>
      <c r="K111" s="1122"/>
      <c r="L111" s="240"/>
      <c r="M111" s="242"/>
      <c r="N111" s="244"/>
      <c r="O111" s="244" t="s">
        <v>274</v>
      </c>
      <c r="P111" s="575">
        <f>G111*I111</f>
        <v>1000000</v>
      </c>
      <c r="Q111" s="235"/>
      <c r="R111" s="997"/>
      <c r="S111" s="235"/>
      <c r="T111" s="246"/>
    </row>
    <row r="112" spans="1:24" ht="14.25" customHeight="1">
      <c r="A112" s="224"/>
      <c r="B112" s="225"/>
      <c r="C112" s="226"/>
      <c r="D112" s="225"/>
      <c r="E112" s="237"/>
      <c r="F112" s="231" t="s">
        <v>2283</v>
      </c>
      <c r="G112" s="252"/>
      <c r="H112" s="240"/>
      <c r="I112" s="1409"/>
      <c r="J112" s="240"/>
      <c r="K112" s="242"/>
      <c r="L112" s="243"/>
      <c r="M112" s="242"/>
      <c r="N112" s="244"/>
      <c r="O112" s="244"/>
      <c r="P112" s="251">
        <f>SUM(P113:P119)</f>
        <v>8000000</v>
      </c>
      <c r="Q112" s="235"/>
      <c r="R112" s="997"/>
      <c r="S112" s="235"/>
      <c r="T112" s="246"/>
      <c r="V112" s="236"/>
    </row>
    <row r="113" spans="1:23" ht="14.25" customHeight="1">
      <c r="A113" s="224"/>
      <c r="B113" s="225"/>
      <c r="C113" s="226"/>
      <c r="D113" s="225"/>
      <c r="E113" s="237"/>
      <c r="F113" s="248" t="s">
        <v>2631</v>
      </c>
      <c r="G113" s="252">
        <v>500000</v>
      </c>
      <c r="H113" s="240" t="s">
        <v>273</v>
      </c>
      <c r="I113" s="256">
        <v>2</v>
      </c>
      <c r="J113" s="240"/>
      <c r="K113" s="256"/>
      <c r="L113" s="240"/>
      <c r="M113" s="242"/>
      <c r="N113" s="244"/>
      <c r="O113" s="244" t="s">
        <v>274</v>
      </c>
      <c r="P113" s="575">
        <f>G113*I113</f>
        <v>1000000</v>
      </c>
      <c r="Q113" s="235"/>
      <c r="R113" s="997"/>
      <c r="S113" s="235"/>
      <c r="T113" s="246"/>
      <c r="V113" s="236"/>
    </row>
    <row r="114" spans="1:23" ht="14.25" customHeight="1">
      <c r="A114" s="224"/>
      <c r="B114" s="225"/>
      <c r="C114" s="226"/>
      <c r="D114" s="225"/>
      <c r="E114" s="237"/>
      <c r="F114" s="248" t="s">
        <v>2632</v>
      </c>
      <c r="G114" s="252">
        <v>1700000</v>
      </c>
      <c r="H114" s="240" t="s">
        <v>273</v>
      </c>
      <c r="I114" s="256">
        <v>1</v>
      </c>
      <c r="J114" s="240"/>
      <c r="K114" s="256"/>
      <c r="L114" s="240"/>
      <c r="M114" s="242"/>
      <c r="N114" s="244"/>
      <c r="O114" s="244" t="s">
        <v>274</v>
      </c>
      <c r="P114" s="575">
        <f t="shared" ref="P114:P119" si="8">G114*I114</f>
        <v>1700000</v>
      </c>
      <c r="Q114" s="235"/>
      <c r="R114" s="997"/>
      <c r="S114" s="235"/>
      <c r="T114" s="246"/>
      <c r="V114" s="236"/>
    </row>
    <row r="115" spans="1:23" ht="14.25" customHeight="1">
      <c r="A115" s="224"/>
      <c r="B115" s="225"/>
      <c r="C115" s="226"/>
      <c r="D115" s="225"/>
      <c r="E115" s="237"/>
      <c r="F115" s="248" t="s">
        <v>2633</v>
      </c>
      <c r="G115" s="252">
        <v>1900000</v>
      </c>
      <c r="H115" s="240" t="s">
        <v>273</v>
      </c>
      <c r="I115" s="256">
        <v>1</v>
      </c>
      <c r="J115" s="240"/>
      <c r="K115" s="256"/>
      <c r="L115" s="240"/>
      <c r="M115" s="242"/>
      <c r="N115" s="244"/>
      <c r="O115" s="244" t="s">
        <v>274</v>
      </c>
      <c r="P115" s="575">
        <f t="shared" si="8"/>
        <v>1900000</v>
      </c>
      <c r="Q115" s="235"/>
      <c r="R115" s="997"/>
      <c r="S115" s="235"/>
      <c r="T115" s="246"/>
      <c r="V115" s="236"/>
    </row>
    <row r="116" spans="1:23" ht="14.25" customHeight="1">
      <c r="A116" s="224"/>
      <c r="B116" s="225"/>
      <c r="C116" s="226"/>
      <c r="D116" s="225"/>
      <c r="E116" s="237"/>
      <c r="F116" s="248" t="s">
        <v>2634</v>
      </c>
      <c r="G116" s="252">
        <v>300000</v>
      </c>
      <c r="H116" s="240" t="s">
        <v>273</v>
      </c>
      <c r="I116" s="1842">
        <v>5</v>
      </c>
      <c r="J116" s="240"/>
      <c r="K116" s="256"/>
      <c r="L116" s="240"/>
      <c r="M116" s="242"/>
      <c r="N116" s="244"/>
      <c r="O116" s="244" t="s">
        <v>274</v>
      </c>
      <c r="P116" s="575">
        <f t="shared" si="8"/>
        <v>1500000</v>
      </c>
      <c r="Q116" s="235"/>
      <c r="R116" s="997"/>
      <c r="S116" s="235"/>
      <c r="T116" s="246"/>
      <c r="V116" s="236"/>
    </row>
    <row r="117" spans="1:23" ht="14.25" customHeight="1">
      <c r="A117" s="224"/>
      <c r="B117" s="225"/>
      <c r="C117" s="226"/>
      <c r="D117" s="225"/>
      <c r="E117" s="237"/>
      <c r="F117" s="248" t="s">
        <v>2635</v>
      </c>
      <c r="G117" s="252">
        <v>100000</v>
      </c>
      <c r="H117" s="240" t="s">
        <v>273</v>
      </c>
      <c r="I117" s="1842">
        <v>5</v>
      </c>
      <c r="J117" s="240"/>
      <c r="K117" s="256"/>
      <c r="L117" s="240"/>
      <c r="M117" s="242"/>
      <c r="N117" s="244"/>
      <c r="O117" s="244" t="s">
        <v>274</v>
      </c>
      <c r="P117" s="575">
        <f t="shared" si="8"/>
        <v>500000</v>
      </c>
      <c r="Q117" s="235"/>
      <c r="R117" s="997"/>
      <c r="S117" s="235"/>
      <c r="T117" s="246"/>
      <c r="V117" s="236"/>
    </row>
    <row r="118" spans="1:23" ht="14.25" customHeight="1">
      <c r="A118" s="224"/>
      <c r="B118" s="225"/>
      <c r="C118" s="226"/>
      <c r="D118" s="225"/>
      <c r="E118" s="237"/>
      <c r="F118" s="248" t="s">
        <v>2636</v>
      </c>
      <c r="G118" s="252">
        <v>50000</v>
      </c>
      <c r="H118" s="240" t="s">
        <v>273</v>
      </c>
      <c r="I118" s="256">
        <v>10</v>
      </c>
      <c r="J118" s="240"/>
      <c r="K118" s="256"/>
      <c r="L118" s="240"/>
      <c r="M118" s="242"/>
      <c r="N118" s="244"/>
      <c r="O118" s="244" t="s">
        <v>274</v>
      </c>
      <c r="P118" s="575">
        <f t="shared" si="8"/>
        <v>500000</v>
      </c>
      <c r="Q118" s="235"/>
      <c r="R118" s="997"/>
      <c r="S118" s="235"/>
      <c r="T118" s="246"/>
      <c r="V118" s="236"/>
    </row>
    <row r="119" spans="1:23" ht="14.25" customHeight="1">
      <c r="A119" s="224"/>
      <c r="B119" s="225"/>
      <c r="C119" s="226"/>
      <c r="D119" s="225"/>
      <c r="E119" s="237"/>
      <c r="F119" s="248" t="s">
        <v>2637</v>
      </c>
      <c r="G119" s="252">
        <v>900000</v>
      </c>
      <c r="H119" s="240" t="s">
        <v>273</v>
      </c>
      <c r="I119" s="256">
        <v>1</v>
      </c>
      <c r="J119" s="240"/>
      <c r="K119" s="256"/>
      <c r="L119" s="240"/>
      <c r="M119" s="242"/>
      <c r="N119" s="244"/>
      <c r="O119" s="244" t="s">
        <v>274</v>
      </c>
      <c r="P119" s="575">
        <f t="shared" si="8"/>
        <v>900000</v>
      </c>
      <c r="Q119" s="235"/>
      <c r="R119" s="997"/>
      <c r="S119" s="235"/>
      <c r="T119" s="246"/>
      <c r="V119" s="236"/>
    </row>
    <row r="120" spans="1:23" ht="14.25" customHeight="1">
      <c r="A120" s="224"/>
      <c r="B120" s="225"/>
      <c r="C120" s="226"/>
      <c r="D120" s="225"/>
      <c r="E120" s="247"/>
      <c r="F120" s="231" t="s">
        <v>2284</v>
      </c>
      <c r="G120" s="249"/>
      <c r="H120" s="240"/>
      <c r="I120" s="1409"/>
      <c r="J120" s="240"/>
      <c r="K120" s="242"/>
      <c r="L120" s="243"/>
      <c r="M120" s="242"/>
      <c r="N120" s="244"/>
      <c r="O120" s="244"/>
      <c r="P120" s="251">
        <f>SUM(P121:P124)</f>
        <v>3000000</v>
      </c>
      <c r="Q120" s="235"/>
      <c r="R120" s="997"/>
      <c r="S120" s="235"/>
      <c r="T120" s="246"/>
    </row>
    <row r="121" spans="1:23" ht="14.25" customHeight="1">
      <c r="A121" s="224"/>
      <c r="B121" s="225"/>
      <c r="C121" s="226"/>
      <c r="D121" s="225"/>
      <c r="E121" s="247"/>
      <c r="F121" s="248" t="s">
        <v>2638</v>
      </c>
      <c r="G121" s="252">
        <v>100000</v>
      </c>
      <c r="H121" s="240" t="s">
        <v>273</v>
      </c>
      <c r="I121" s="256">
        <v>10</v>
      </c>
      <c r="J121" s="240"/>
      <c r="K121" s="256"/>
      <c r="L121" s="240"/>
      <c r="M121" s="242"/>
      <c r="N121" s="244"/>
      <c r="O121" s="244" t="s">
        <v>274</v>
      </c>
      <c r="P121" s="575">
        <f t="shared" ref="P121:P124" si="9">G121*I121</f>
        <v>1000000</v>
      </c>
      <c r="Q121" s="235"/>
      <c r="R121" s="997"/>
      <c r="S121" s="235"/>
      <c r="T121" s="246"/>
    </row>
    <row r="122" spans="1:23" ht="14.25" customHeight="1">
      <c r="A122" s="224"/>
      <c r="B122" s="225"/>
      <c r="C122" s="226"/>
      <c r="D122" s="225"/>
      <c r="E122" s="247"/>
      <c r="F122" s="248" t="s">
        <v>2639</v>
      </c>
      <c r="G122" s="252">
        <v>500000</v>
      </c>
      <c r="H122" s="240" t="s">
        <v>273</v>
      </c>
      <c r="I122" s="256">
        <v>3</v>
      </c>
      <c r="J122" s="240"/>
      <c r="K122" s="256"/>
      <c r="L122" s="240"/>
      <c r="M122" s="242"/>
      <c r="N122" s="244"/>
      <c r="O122" s="244" t="s">
        <v>274</v>
      </c>
      <c r="P122" s="575">
        <f t="shared" si="9"/>
        <v>1500000</v>
      </c>
      <c r="Q122" s="235"/>
      <c r="R122" s="997"/>
      <c r="S122" s="235"/>
      <c r="T122" s="246"/>
    </row>
    <row r="123" spans="1:23" ht="14.25" customHeight="1">
      <c r="A123" s="224"/>
      <c r="B123" s="225"/>
      <c r="C123" s="226"/>
      <c r="D123" s="225"/>
      <c r="E123" s="247"/>
      <c r="F123" s="248" t="s">
        <v>2640</v>
      </c>
      <c r="G123" s="252">
        <v>50000</v>
      </c>
      <c r="H123" s="240" t="s">
        <v>273</v>
      </c>
      <c r="I123" s="256">
        <v>5</v>
      </c>
      <c r="J123" s="240"/>
      <c r="K123" s="256"/>
      <c r="L123" s="240"/>
      <c r="M123" s="242"/>
      <c r="N123" s="244"/>
      <c r="O123" s="244" t="s">
        <v>274</v>
      </c>
      <c r="P123" s="575">
        <f t="shared" si="9"/>
        <v>250000</v>
      </c>
      <c r="Q123" s="235"/>
      <c r="R123" s="997"/>
      <c r="S123" s="235"/>
      <c r="T123" s="246"/>
    </row>
    <row r="124" spans="1:23" ht="14.25" customHeight="1">
      <c r="A124" s="224"/>
      <c r="B124" s="225"/>
      <c r="C124" s="226"/>
      <c r="D124" s="225"/>
      <c r="E124" s="247"/>
      <c r="F124" s="248" t="s">
        <v>2641</v>
      </c>
      <c r="G124" s="252">
        <v>50000</v>
      </c>
      <c r="H124" s="240" t="s">
        <v>273</v>
      </c>
      <c r="I124" s="256">
        <v>5</v>
      </c>
      <c r="J124" s="240"/>
      <c r="K124" s="256"/>
      <c r="L124" s="240"/>
      <c r="M124" s="242"/>
      <c r="N124" s="244"/>
      <c r="O124" s="244" t="s">
        <v>274</v>
      </c>
      <c r="P124" s="575">
        <f t="shared" si="9"/>
        <v>250000</v>
      </c>
      <c r="Q124" s="235"/>
      <c r="R124" s="997"/>
      <c r="S124" s="235"/>
      <c r="T124" s="246"/>
    </row>
    <row r="125" spans="1:23" s="192" customFormat="1" ht="14.25" customHeight="1">
      <c r="A125" s="204"/>
      <c r="B125" s="222"/>
      <c r="C125" s="223"/>
      <c r="D125" s="222"/>
      <c r="E125" s="66" t="s">
        <v>2440</v>
      </c>
      <c r="F125" s="227"/>
      <c r="G125" s="228"/>
      <c r="H125" s="66"/>
      <c r="I125" s="1384"/>
      <c r="J125" s="66"/>
      <c r="K125" s="66"/>
      <c r="L125" s="229"/>
      <c r="M125" s="66"/>
      <c r="N125" s="230"/>
      <c r="O125" s="230"/>
      <c r="P125" s="1427"/>
      <c r="Q125" s="171">
        <f>P127+P133+P139</f>
        <v>58980000</v>
      </c>
      <c r="R125" s="171">
        <v>5000000</v>
      </c>
      <c r="S125" s="171">
        <f>Q125-R125</f>
        <v>53980000</v>
      </c>
      <c r="T125" s="172">
        <f t="shared" si="7"/>
        <v>10.795999999999999</v>
      </c>
    </row>
    <row r="126" spans="1:23" ht="14.25" customHeight="1">
      <c r="A126" s="224"/>
      <c r="B126" s="225"/>
      <c r="C126" s="226"/>
      <c r="D126" s="225"/>
      <c r="E126" s="226"/>
      <c r="F126" s="231" t="s">
        <v>839</v>
      </c>
      <c r="G126" s="249"/>
      <c r="H126" s="240"/>
      <c r="I126" s="1391"/>
      <c r="J126" s="240"/>
      <c r="K126" s="240"/>
      <c r="L126" s="250"/>
      <c r="M126" s="240"/>
      <c r="N126" s="244"/>
      <c r="O126" s="244"/>
      <c r="P126" s="251"/>
      <c r="Q126" s="235"/>
      <c r="R126" s="997"/>
      <c r="S126" s="235"/>
      <c r="T126" s="246"/>
      <c r="W126" s="196">
        <v>34980000</v>
      </c>
    </row>
    <row r="127" spans="1:23" ht="14.25" customHeight="1">
      <c r="A127" s="224"/>
      <c r="B127" s="225"/>
      <c r="C127" s="226"/>
      <c r="D127" s="225"/>
      <c r="E127" s="237"/>
      <c r="F127" s="96" t="s">
        <v>2285</v>
      </c>
      <c r="G127" s="121"/>
      <c r="H127" s="240"/>
      <c r="I127" s="1409"/>
      <c r="J127" s="106"/>
      <c r="K127" s="108"/>
      <c r="L127" s="109"/>
      <c r="M127" s="108"/>
      <c r="N127" s="110"/>
      <c r="O127" s="110"/>
      <c r="P127" s="251">
        <f>SUM(P128:P132)</f>
        <v>34980000</v>
      </c>
      <c r="Q127" s="235"/>
      <c r="R127" s="997"/>
      <c r="S127" s="235"/>
      <c r="T127" s="246"/>
    </row>
    <row r="128" spans="1:23" ht="14.25" customHeight="1">
      <c r="A128" s="224"/>
      <c r="B128" s="225"/>
      <c r="C128" s="226"/>
      <c r="D128" s="225"/>
      <c r="E128" s="237"/>
      <c r="F128" s="248" t="s">
        <v>279</v>
      </c>
      <c r="G128" s="252">
        <v>300000</v>
      </c>
      <c r="H128" s="240" t="s">
        <v>273</v>
      </c>
      <c r="I128" s="1409">
        <v>1</v>
      </c>
      <c r="J128" s="240" t="s">
        <v>273</v>
      </c>
      <c r="K128" s="256">
        <v>15</v>
      </c>
      <c r="L128" s="240"/>
      <c r="M128" s="242"/>
      <c r="N128" s="244"/>
      <c r="O128" s="244" t="s">
        <v>274</v>
      </c>
      <c r="P128" s="575">
        <f>G128*I128*K128</f>
        <v>4500000</v>
      </c>
      <c r="Q128" s="235"/>
      <c r="R128" s="997"/>
      <c r="S128" s="235"/>
      <c r="T128" s="246"/>
      <c r="W128" s="1031"/>
    </row>
    <row r="129" spans="1:23" ht="14.25" customHeight="1">
      <c r="A129" s="224"/>
      <c r="B129" s="225"/>
      <c r="C129" s="226"/>
      <c r="D129" s="225"/>
      <c r="E129" s="237"/>
      <c r="F129" s="248" t="s">
        <v>2642</v>
      </c>
      <c r="G129" s="252">
        <v>150000</v>
      </c>
      <c r="H129" s="240" t="s">
        <v>273</v>
      </c>
      <c r="I129" s="1674">
        <v>10</v>
      </c>
      <c r="J129" s="240" t="s">
        <v>273</v>
      </c>
      <c r="K129" s="256">
        <v>15</v>
      </c>
      <c r="L129" s="240"/>
      <c r="M129" s="242"/>
      <c r="N129" s="244"/>
      <c r="O129" s="244" t="s">
        <v>274</v>
      </c>
      <c r="P129" s="575">
        <f>G129*I129*K129</f>
        <v>22500000</v>
      </c>
      <c r="Q129" s="235"/>
      <c r="R129" s="997"/>
      <c r="S129" s="235"/>
      <c r="T129" s="246"/>
    </row>
    <row r="130" spans="1:23" ht="14.25" customHeight="1">
      <c r="A130" s="224"/>
      <c r="B130" s="225"/>
      <c r="C130" s="226"/>
      <c r="D130" s="225"/>
      <c r="E130" s="237"/>
      <c r="F130" s="248" t="s">
        <v>2643</v>
      </c>
      <c r="G130" s="252">
        <v>100000</v>
      </c>
      <c r="H130" s="240" t="s">
        <v>273</v>
      </c>
      <c r="I130" s="256">
        <v>10</v>
      </c>
      <c r="J130" s="240"/>
      <c r="K130" s="256"/>
      <c r="L130" s="240"/>
      <c r="M130" s="242"/>
      <c r="N130" s="244"/>
      <c r="O130" s="244" t="s">
        <v>274</v>
      </c>
      <c r="P130" s="575">
        <f t="shared" ref="P130:P132" si="10">G130*I130</f>
        <v>1000000</v>
      </c>
      <c r="Q130" s="235"/>
      <c r="R130" s="997"/>
      <c r="S130" s="235"/>
      <c r="T130" s="246"/>
      <c r="W130" s="196">
        <v>22000000</v>
      </c>
    </row>
    <row r="131" spans="1:23" ht="14.25" customHeight="1">
      <c r="A131" s="224"/>
      <c r="B131" s="225"/>
      <c r="C131" s="226"/>
      <c r="D131" s="225"/>
      <c r="E131" s="237"/>
      <c r="F131" s="248" t="s">
        <v>2644</v>
      </c>
      <c r="G131" s="252">
        <v>490000</v>
      </c>
      <c r="H131" s="240" t="s">
        <v>273</v>
      </c>
      <c r="I131" s="256">
        <v>2</v>
      </c>
      <c r="J131" s="240"/>
      <c r="K131" s="256"/>
      <c r="L131" s="240"/>
      <c r="M131" s="242"/>
      <c r="N131" s="244"/>
      <c r="O131" s="244" t="s">
        <v>274</v>
      </c>
      <c r="P131" s="575">
        <f t="shared" si="10"/>
        <v>980000</v>
      </c>
      <c r="Q131" s="235"/>
      <c r="R131" s="997"/>
      <c r="S131" s="235"/>
      <c r="T131" s="246"/>
      <c r="W131" s="196">
        <f>W130/10</f>
        <v>2200000</v>
      </c>
    </row>
    <row r="132" spans="1:23" ht="14.25" customHeight="1">
      <c r="A132" s="224"/>
      <c r="B132" s="225"/>
      <c r="C132" s="226"/>
      <c r="D132" s="225"/>
      <c r="E132" s="237"/>
      <c r="F132" s="248" t="s">
        <v>2645</v>
      </c>
      <c r="G132" s="252">
        <v>400000</v>
      </c>
      <c r="H132" s="240" t="s">
        <v>273</v>
      </c>
      <c r="I132" s="256">
        <v>15</v>
      </c>
      <c r="J132" s="240"/>
      <c r="K132" s="256"/>
      <c r="L132" s="240"/>
      <c r="M132" s="242"/>
      <c r="N132" s="244"/>
      <c r="O132" s="244" t="s">
        <v>274</v>
      </c>
      <c r="P132" s="575">
        <f t="shared" si="10"/>
        <v>6000000</v>
      </c>
      <c r="Q132" s="235"/>
      <c r="R132" s="997"/>
      <c r="S132" s="235"/>
      <c r="T132" s="246"/>
    </row>
    <row r="133" spans="1:23" ht="14.25" customHeight="1">
      <c r="A133" s="224"/>
      <c r="B133" s="225"/>
      <c r="C133" s="226"/>
      <c r="D133" s="225"/>
      <c r="E133" s="237"/>
      <c r="F133" s="96" t="s">
        <v>2286</v>
      </c>
      <c r="G133" s="121"/>
      <c r="H133" s="240"/>
      <c r="I133" s="1409"/>
      <c r="J133" s="106"/>
      <c r="K133" s="108"/>
      <c r="L133" s="109"/>
      <c r="M133" s="108"/>
      <c r="N133" s="110"/>
      <c r="O133" s="110"/>
      <c r="P133" s="251">
        <f>SUM(P134:P138)</f>
        <v>20000000</v>
      </c>
      <c r="Q133" s="235"/>
      <c r="R133" s="997"/>
      <c r="S133" s="235"/>
      <c r="T133" s="246"/>
    </row>
    <row r="134" spans="1:23" ht="14.25" customHeight="1">
      <c r="A134" s="224"/>
      <c r="B134" s="225"/>
      <c r="C134" s="226"/>
      <c r="D134" s="225"/>
      <c r="E134" s="237"/>
      <c r="F134" s="248" t="s">
        <v>2646</v>
      </c>
      <c r="G134" s="252">
        <v>50000</v>
      </c>
      <c r="H134" s="240" t="s">
        <v>273</v>
      </c>
      <c r="I134" s="1398">
        <v>20</v>
      </c>
      <c r="J134" s="240" t="s">
        <v>273</v>
      </c>
      <c r="K134" s="256">
        <v>10</v>
      </c>
      <c r="L134" s="240"/>
      <c r="M134" s="242"/>
      <c r="N134" s="244"/>
      <c r="O134" s="244" t="s">
        <v>274</v>
      </c>
      <c r="P134" s="575">
        <f>G134*I134*K134</f>
        <v>10000000</v>
      </c>
      <c r="Q134" s="235"/>
      <c r="R134" s="997"/>
      <c r="S134" s="235"/>
      <c r="T134" s="246"/>
    </row>
    <row r="135" spans="1:23" ht="14.25" customHeight="1">
      <c r="A135" s="224"/>
      <c r="B135" s="225"/>
      <c r="C135" s="226"/>
      <c r="D135" s="225"/>
      <c r="E135" s="237"/>
      <c r="F135" s="248" t="s">
        <v>2650</v>
      </c>
      <c r="G135" s="252">
        <v>7000</v>
      </c>
      <c r="H135" s="240" t="s">
        <v>273</v>
      </c>
      <c r="I135" s="1398">
        <v>200</v>
      </c>
      <c r="J135" s="240" t="s">
        <v>273</v>
      </c>
      <c r="K135" s="256">
        <v>5</v>
      </c>
      <c r="L135" s="240"/>
      <c r="M135" s="242"/>
      <c r="N135" s="244"/>
      <c r="O135" s="244" t="s">
        <v>274</v>
      </c>
      <c r="P135" s="575">
        <f>G135*I135*K135</f>
        <v>7000000</v>
      </c>
      <c r="Q135" s="235"/>
      <c r="R135" s="997"/>
      <c r="S135" s="235"/>
      <c r="T135" s="246"/>
    </row>
    <row r="136" spans="1:23" ht="14.25" customHeight="1">
      <c r="A136" s="224"/>
      <c r="B136" s="225"/>
      <c r="C136" s="226"/>
      <c r="D136" s="225"/>
      <c r="E136" s="237"/>
      <c r="F136" s="248" t="s">
        <v>2647</v>
      </c>
      <c r="G136" s="252">
        <v>80000</v>
      </c>
      <c r="H136" s="240" t="s">
        <v>273</v>
      </c>
      <c r="I136" s="256">
        <v>10</v>
      </c>
      <c r="J136" s="240"/>
      <c r="K136" s="256"/>
      <c r="L136" s="240"/>
      <c r="M136" s="242"/>
      <c r="N136" s="244"/>
      <c r="O136" s="244" t="s">
        <v>274</v>
      </c>
      <c r="P136" s="575">
        <f>G136*I136</f>
        <v>800000</v>
      </c>
      <c r="Q136" s="235"/>
      <c r="R136" s="997"/>
      <c r="S136" s="235"/>
      <c r="T136" s="246"/>
    </row>
    <row r="137" spans="1:23" ht="14.25" customHeight="1">
      <c r="A137" s="224"/>
      <c r="B137" s="225"/>
      <c r="C137" s="226"/>
      <c r="D137" s="225"/>
      <c r="E137" s="237"/>
      <c r="F137" s="248" t="s">
        <v>2648</v>
      </c>
      <c r="G137" s="252">
        <v>2000000</v>
      </c>
      <c r="H137" s="240" t="s">
        <v>273</v>
      </c>
      <c r="I137" s="256">
        <v>1</v>
      </c>
      <c r="J137" s="240"/>
      <c r="K137" s="256"/>
      <c r="L137" s="240"/>
      <c r="M137" s="242"/>
      <c r="N137" s="244"/>
      <c r="O137" s="244" t="s">
        <v>274</v>
      </c>
      <c r="P137" s="575">
        <f t="shared" ref="P137:P138" si="11">G137*I137</f>
        <v>2000000</v>
      </c>
      <c r="Q137" s="235"/>
      <c r="R137" s="997"/>
      <c r="S137" s="235"/>
      <c r="T137" s="246"/>
    </row>
    <row r="138" spans="1:23" ht="14.25" customHeight="1">
      <c r="A138" s="224"/>
      <c r="B138" s="225"/>
      <c r="C138" s="226"/>
      <c r="D138" s="225"/>
      <c r="E138" s="237"/>
      <c r="F138" s="248" t="s">
        <v>2649</v>
      </c>
      <c r="G138" s="252">
        <v>200000</v>
      </c>
      <c r="H138" s="240" t="s">
        <v>273</v>
      </c>
      <c r="I138" s="256">
        <v>1</v>
      </c>
      <c r="J138" s="240"/>
      <c r="K138" s="256"/>
      <c r="L138" s="240"/>
      <c r="M138" s="242"/>
      <c r="N138" s="244"/>
      <c r="O138" s="244" t="s">
        <v>274</v>
      </c>
      <c r="P138" s="575">
        <f t="shared" si="11"/>
        <v>200000</v>
      </c>
      <c r="Q138" s="235"/>
      <c r="R138" s="997"/>
      <c r="S138" s="235"/>
      <c r="T138" s="246"/>
    </row>
    <row r="139" spans="1:23" ht="14.25" customHeight="1">
      <c r="A139" s="224"/>
      <c r="B139" s="225"/>
      <c r="C139" s="226"/>
      <c r="D139" s="225"/>
      <c r="E139" s="247"/>
      <c r="F139" s="231" t="s">
        <v>840</v>
      </c>
      <c r="G139" s="249"/>
      <c r="H139" s="240"/>
      <c r="I139" s="1409"/>
      <c r="J139" s="240"/>
      <c r="K139" s="242"/>
      <c r="L139" s="243"/>
      <c r="M139" s="242"/>
      <c r="N139" s="244"/>
      <c r="O139" s="244"/>
      <c r="P139" s="251">
        <f>SUM(P140:P144)</f>
        <v>4000000</v>
      </c>
      <c r="Q139" s="235"/>
      <c r="R139" s="997"/>
      <c r="S139" s="235"/>
      <c r="T139" s="246"/>
    </row>
    <row r="140" spans="1:23" ht="14.25" customHeight="1">
      <c r="A140" s="224"/>
      <c r="B140" s="225"/>
      <c r="C140" s="226"/>
      <c r="D140" s="225"/>
      <c r="E140" s="247"/>
      <c r="F140" s="248" t="s">
        <v>1393</v>
      </c>
      <c r="G140" s="252">
        <v>600000</v>
      </c>
      <c r="H140" s="240" t="s">
        <v>273</v>
      </c>
      <c r="I140" s="1398">
        <v>2</v>
      </c>
      <c r="J140" s="240" t="s">
        <v>273</v>
      </c>
      <c r="K140" s="256">
        <v>2</v>
      </c>
      <c r="L140" s="240"/>
      <c r="M140" s="242"/>
      <c r="N140" s="244"/>
      <c r="O140" s="244" t="s">
        <v>274</v>
      </c>
      <c r="P140" s="575">
        <f>G140*I140*K140</f>
        <v>2400000</v>
      </c>
      <c r="Q140" s="235"/>
      <c r="R140" s="997"/>
      <c r="S140" s="235"/>
      <c r="T140" s="246"/>
    </row>
    <row r="141" spans="1:23" ht="14.25" customHeight="1">
      <c r="A141" s="224"/>
      <c r="B141" s="225"/>
      <c r="C141" s="226"/>
      <c r="D141" s="225"/>
      <c r="E141" s="247"/>
      <c r="F141" s="248" t="s">
        <v>2651</v>
      </c>
      <c r="G141" s="252">
        <v>250000</v>
      </c>
      <c r="H141" s="240" t="s">
        <v>273</v>
      </c>
      <c r="I141" s="1843">
        <v>2</v>
      </c>
      <c r="J141" s="240" t="s">
        <v>273</v>
      </c>
      <c r="K141" s="256">
        <v>2</v>
      </c>
      <c r="L141" s="240"/>
      <c r="M141" s="242"/>
      <c r="N141" s="244"/>
      <c r="O141" s="244" t="s">
        <v>274</v>
      </c>
      <c r="P141" s="575">
        <f>G141*I141*K141</f>
        <v>1000000</v>
      </c>
      <c r="Q141" s="235"/>
      <c r="R141" s="997"/>
      <c r="S141" s="235"/>
      <c r="T141" s="246"/>
    </row>
    <row r="142" spans="1:23" ht="14.25" customHeight="1">
      <c r="A142" s="224"/>
      <c r="B142" s="225"/>
      <c r="C142" s="226"/>
      <c r="D142" s="225"/>
      <c r="E142" s="247"/>
      <c r="F142" s="248" t="s">
        <v>1397</v>
      </c>
      <c r="G142" s="252">
        <v>100000</v>
      </c>
      <c r="H142" s="240" t="s">
        <v>273</v>
      </c>
      <c r="I142" s="256">
        <v>2</v>
      </c>
      <c r="J142" s="240"/>
      <c r="K142" s="256"/>
      <c r="L142" s="240"/>
      <c r="M142" s="242"/>
      <c r="N142" s="244"/>
      <c r="O142" s="244" t="s">
        <v>274</v>
      </c>
      <c r="P142" s="575">
        <f>G142*I142</f>
        <v>200000</v>
      </c>
      <c r="Q142" s="235"/>
      <c r="R142" s="997"/>
      <c r="S142" s="235"/>
      <c r="T142" s="246"/>
    </row>
    <row r="143" spans="1:23" ht="14.25" customHeight="1">
      <c r="A143" s="224"/>
      <c r="B143" s="225"/>
      <c r="C143" s="226"/>
      <c r="D143" s="225"/>
      <c r="E143" s="247"/>
      <c r="F143" s="248" t="s">
        <v>2652</v>
      </c>
      <c r="G143" s="252">
        <v>200000</v>
      </c>
      <c r="H143" s="240" t="s">
        <v>273</v>
      </c>
      <c r="I143" s="256">
        <v>1</v>
      </c>
      <c r="J143" s="240"/>
      <c r="K143" s="256"/>
      <c r="L143" s="240"/>
      <c r="M143" s="242"/>
      <c r="N143" s="244"/>
      <c r="O143" s="244" t="s">
        <v>274</v>
      </c>
      <c r="P143" s="575">
        <f t="shared" ref="P143:P144" si="12">G143*I143</f>
        <v>200000</v>
      </c>
      <c r="Q143" s="235"/>
      <c r="R143" s="997"/>
      <c r="S143" s="235"/>
      <c r="T143" s="246"/>
    </row>
    <row r="144" spans="1:23" ht="14.25" customHeight="1">
      <c r="A144" s="224"/>
      <c r="B144" s="225"/>
      <c r="C144" s="226"/>
      <c r="D144" s="225"/>
      <c r="E144" s="247"/>
      <c r="F144" s="248" t="s">
        <v>2653</v>
      </c>
      <c r="G144" s="252">
        <v>200000</v>
      </c>
      <c r="H144" s="240" t="s">
        <v>273</v>
      </c>
      <c r="I144" s="256">
        <v>1</v>
      </c>
      <c r="J144" s="240"/>
      <c r="K144" s="256"/>
      <c r="L144" s="240"/>
      <c r="M144" s="242"/>
      <c r="N144" s="244"/>
      <c r="O144" s="244" t="s">
        <v>274</v>
      </c>
      <c r="P144" s="575">
        <f t="shared" si="12"/>
        <v>200000</v>
      </c>
      <c r="Q144" s="235"/>
      <c r="R144" s="997"/>
      <c r="S144" s="235"/>
      <c r="T144" s="246"/>
    </row>
    <row r="145" spans="1:27" s="192" customFormat="1" ht="14.25" customHeight="1">
      <c r="A145" s="204"/>
      <c r="B145" s="222"/>
      <c r="C145" s="223"/>
      <c r="D145" s="222"/>
      <c r="E145" s="66" t="s">
        <v>2441</v>
      </c>
      <c r="F145" s="227"/>
      <c r="G145" s="228"/>
      <c r="H145" s="66"/>
      <c r="I145" s="1384"/>
      <c r="J145" s="66"/>
      <c r="K145" s="66"/>
      <c r="L145" s="229"/>
      <c r="M145" s="66"/>
      <c r="N145" s="230"/>
      <c r="O145" s="230"/>
      <c r="P145" s="1427"/>
      <c r="Q145" s="171">
        <f>P147+P153</f>
        <v>16000000</v>
      </c>
      <c r="R145" s="171">
        <v>4000000</v>
      </c>
      <c r="S145" s="171">
        <f>Q145-R145</f>
        <v>12000000</v>
      </c>
      <c r="T145" s="172">
        <f>S145/R145</f>
        <v>3</v>
      </c>
    </row>
    <row r="146" spans="1:27" ht="14.25" customHeight="1">
      <c r="A146" s="224"/>
      <c r="B146" s="225"/>
      <c r="C146" s="226"/>
      <c r="D146" s="225"/>
      <c r="E146" s="339"/>
      <c r="F146" s="1293" t="s">
        <v>841</v>
      </c>
      <c r="G146" s="865"/>
      <c r="H146" s="339"/>
      <c r="I146" s="339"/>
      <c r="J146" s="339"/>
      <c r="K146" s="339"/>
      <c r="L146" s="1216"/>
      <c r="M146" s="339"/>
      <c r="N146" s="866"/>
      <c r="O146" s="866"/>
      <c r="P146" s="251"/>
      <c r="Q146" s="1198"/>
      <c r="R146" s="1198"/>
      <c r="S146" s="1198"/>
      <c r="T146" s="1199"/>
      <c r="U146" s="826"/>
    </row>
    <row r="147" spans="1:27" ht="14.25" customHeight="1">
      <c r="A147" s="224"/>
      <c r="B147" s="225"/>
      <c r="C147" s="222"/>
      <c r="D147" s="222"/>
      <c r="E147" s="521"/>
      <c r="F147" s="231" t="s">
        <v>842</v>
      </c>
      <c r="G147" s="249"/>
      <c r="H147" s="240"/>
      <c r="I147" s="1409"/>
      <c r="J147" s="240"/>
      <c r="K147" s="242"/>
      <c r="L147" s="243"/>
      <c r="M147" s="242"/>
      <c r="N147" s="244"/>
      <c r="O147" s="244"/>
      <c r="P147" s="251">
        <f>SUM(P148:P152)</f>
        <v>7000000</v>
      </c>
      <c r="Q147" s="235"/>
      <c r="R147" s="997"/>
      <c r="S147" s="235"/>
      <c r="T147" s="246"/>
    </row>
    <row r="148" spans="1:27" ht="14.25" customHeight="1">
      <c r="A148" s="224"/>
      <c r="B148" s="225"/>
      <c r="C148" s="222"/>
      <c r="D148" s="222"/>
      <c r="E148" s="226"/>
      <c r="F148" s="248" t="s">
        <v>2654</v>
      </c>
      <c r="G148" s="252">
        <v>50000</v>
      </c>
      <c r="H148" s="240" t="s">
        <v>273</v>
      </c>
      <c r="I148" s="256">
        <v>60</v>
      </c>
      <c r="J148" s="240"/>
      <c r="K148" s="256"/>
      <c r="L148" s="240"/>
      <c r="M148" s="242"/>
      <c r="N148" s="244"/>
      <c r="O148" s="244" t="s">
        <v>274</v>
      </c>
      <c r="P148" s="575">
        <f>G148*I148</f>
        <v>3000000</v>
      </c>
      <c r="Q148" s="235"/>
      <c r="R148" s="997"/>
      <c r="S148" s="235"/>
      <c r="T148" s="246"/>
    </row>
    <row r="149" spans="1:27" ht="14.25" customHeight="1">
      <c r="A149" s="224"/>
      <c r="B149" s="225"/>
      <c r="C149" s="222"/>
      <c r="D149" s="222"/>
      <c r="E149" s="226"/>
      <c r="F149" s="248" t="s">
        <v>2655</v>
      </c>
      <c r="G149" s="252">
        <v>50000</v>
      </c>
      <c r="H149" s="240" t="s">
        <v>273</v>
      </c>
      <c r="I149" s="256">
        <v>60</v>
      </c>
      <c r="J149" s="240"/>
      <c r="K149" s="256"/>
      <c r="L149" s="240"/>
      <c r="M149" s="242"/>
      <c r="N149" s="244"/>
      <c r="O149" s="244" t="s">
        <v>274</v>
      </c>
      <c r="P149" s="575">
        <f t="shared" ref="P149:P152" si="13">G149*I149</f>
        <v>3000000</v>
      </c>
      <c r="Q149" s="235"/>
      <c r="R149" s="997"/>
      <c r="S149" s="235"/>
      <c r="T149" s="246"/>
    </row>
    <row r="150" spans="1:27" ht="14.25" customHeight="1">
      <c r="A150" s="224"/>
      <c r="B150" s="225"/>
      <c r="C150" s="222"/>
      <c r="D150" s="222"/>
      <c r="E150" s="226"/>
      <c r="F150" s="248" t="s">
        <v>2656</v>
      </c>
      <c r="G150" s="252">
        <v>100000</v>
      </c>
      <c r="H150" s="240" t="s">
        <v>273</v>
      </c>
      <c r="I150" s="256">
        <v>4</v>
      </c>
      <c r="J150" s="240"/>
      <c r="K150" s="256"/>
      <c r="L150" s="240"/>
      <c r="M150" s="242"/>
      <c r="N150" s="244"/>
      <c r="O150" s="244" t="s">
        <v>274</v>
      </c>
      <c r="P150" s="575">
        <f t="shared" si="13"/>
        <v>400000</v>
      </c>
      <c r="Q150" s="235"/>
      <c r="R150" s="997"/>
      <c r="S150" s="235"/>
      <c r="T150" s="246"/>
    </row>
    <row r="151" spans="1:27" ht="14.25" customHeight="1">
      <c r="A151" s="224"/>
      <c r="B151" s="225"/>
      <c r="C151" s="222"/>
      <c r="D151" s="222"/>
      <c r="E151" s="226"/>
      <c r="F151" s="248" t="s">
        <v>2657</v>
      </c>
      <c r="G151" s="252">
        <v>100000</v>
      </c>
      <c r="H151" s="240" t="s">
        <v>273</v>
      </c>
      <c r="I151" s="256">
        <v>2</v>
      </c>
      <c r="J151" s="240"/>
      <c r="K151" s="256"/>
      <c r="L151" s="240"/>
      <c r="M151" s="242"/>
      <c r="N151" s="244"/>
      <c r="O151" s="244" t="s">
        <v>274</v>
      </c>
      <c r="P151" s="575">
        <f t="shared" si="13"/>
        <v>200000</v>
      </c>
      <c r="Q151" s="235"/>
      <c r="R151" s="997"/>
      <c r="S151" s="235"/>
      <c r="T151" s="246"/>
    </row>
    <row r="152" spans="1:27" ht="14.25" customHeight="1">
      <c r="A152" s="224"/>
      <c r="B152" s="225"/>
      <c r="C152" s="222"/>
      <c r="D152" s="222"/>
      <c r="E152" s="226"/>
      <c r="F152" s="248" t="s">
        <v>2021</v>
      </c>
      <c r="G152" s="252">
        <v>100000</v>
      </c>
      <c r="H152" s="240" t="s">
        <v>273</v>
      </c>
      <c r="I152" s="256">
        <v>4</v>
      </c>
      <c r="J152" s="240"/>
      <c r="K152" s="256"/>
      <c r="L152" s="240"/>
      <c r="M152" s="242"/>
      <c r="N152" s="244"/>
      <c r="O152" s="244" t="s">
        <v>274</v>
      </c>
      <c r="P152" s="575">
        <f t="shared" si="13"/>
        <v>400000</v>
      </c>
      <c r="Q152" s="235"/>
      <c r="R152" s="997"/>
      <c r="S152" s="235"/>
      <c r="T152" s="246"/>
    </row>
    <row r="153" spans="1:27" ht="14.25" customHeight="1">
      <c r="A153" s="224"/>
      <c r="B153" s="225"/>
      <c r="C153" s="225"/>
      <c r="D153" s="225"/>
      <c r="E153" s="226"/>
      <c r="F153" s="231" t="s">
        <v>2287</v>
      </c>
      <c r="G153" s="249"/>
      <c r="H153" s="240"/>
      <c r="I153" s="1409"/>
      <c r="J153" s="240"/>
      <c r="K153" s="242"/>
      <c r="L153" s="243"/>
      <c r="M153" s="242"/>
      <c r="N153" s="244"/>
      <c r="O153" s="244"/>
      <c r="P153" s="251">
        <f>SUM(P154)</f>
        <v>9000000</v>
      </c>
      <c r="Q153" s="235"/>
      <c r="R153" s="997"/>
      <c r="S153" s="235"/>
      <c r="T153" s="246"/>
    </row>
    <row r="154" spans="1:27" ht="14.25" customHeight="1">
      <c r="A154" s="576"/>
      <c r="B154" s="278"/>
      <c r="C154" s="1342"/>
      <c r="D154" s="1342"/>
      <c r="E154" s="279"/>
      <c r="F154" s="248" t="s">
        <v>2658</v>
      </c>
      <c r="G154" s="252">
        <v>9000000</v>
      </c>
      <c r="H154" s="240" t="s">
        <v>273</v>
      </c>
      <c r="I154" s="256">
        <v>1</v>
      </c>
      <c r="J154" s="240"/>
      <c r="K154" s="256"/>
      <c r="L154" s="240"/>
      <c r="M154" s="242"/>
      <c r="N154" s="244"/>
      <c r="O154" s="244" t="s">
        <v>274</v>
      </c>
      <c r="P154" s="575">
        <f t="shared" ref="P154" si="14">G154*I154</f>
        <v>9000000</v>
      </c>
      <c r="Q154" s="287"/>
      <c r="R154" s="1027"/>
      <c r="S154" s="287"/>
      <c r="T154" s="288"/>
    </row>
    <row r="155" spans="1:27" ht="14.45" customHeight="1">
      <c r="A155" s="224"/>
      <c r="B155" s="225"/>
      <c r="C155" s="205" t="s">
        <v>1406</v>
      </c>
      <c r="D155" s="206"/>
      <c r="E155" s="206"/>
      <c r="F155" s="207"/>
      <c r="G155" s="208"/>
      <c r="H155" s="209"/>
      <c r="I155" s="209"/>
      <c r="J155" s="209"/>
      <c r="K155" s="209"/>
      <c r="L155" s="581"/>
      <c r="M155" s="209"/>
      <c r="N155" s="210"/>
      <c r="O155" s="210"/>
      <c r="P155" s="209"/>
      <c r="Q155" s="211">
        <f>Q156</f>
        <v>240000</v>
      </c>
      <c r="R155" s="211">
        <f>R156</f>
        <v>0</v>
      </c>
      <c r="S155" s="211">
        <f>Q155-R155</f>
        <v>240000</v>
      </c>
      <c r="T155" s="212">
        <v>1</v>
      </c>
    </row>
    <row r="156" spans="1:27" ht="14.45" customHeight="1">
      <c r="A156" s="224"/>
      <c r="B156" s="225"/>
      <c r="C156" s="222"/>
      <c r="D156" s="394" t="s">
        <v>1405</v>
      </c>
      <c r="E156" s="84"/>
      <c r="F156" s="85"/>
      <c r="G156" s="86"/>
      <c r="H156" s="84"/>
      <c r="I156" s="84"/>
      <c r="J156" s="84"/>
      <c r="K156" s="84"/>
      <c r="L156" s="83"/>
      <c r="M156" s="84"/>
      <c r="N156" s="87"/>
      <c r="O156" s="87"/>
      <c r="P156" s="84"/>
      <c r="Q156" s="76">
        <f>Q157</f>
        <v>240000</v>
      </c>
      <c r="R156" s="76">
        <f>R157</f>
        <v>0</v>
      </c>
      <c r="S156" s="76">
        <f>Q156-R156</f>
        <v>240000</v>
      </c>
      <c r="T156" s="77">
        <v>1</v>
      </c>
    </row>
    <row r="157" spans="1:27" ht="14.45" customHeight="1">
      <c r="A157" s="224"/>
      <c r="B157" s="225"/>
      <c r="C157" s="222"/>
      <c r="D157" s="222"/>
      <c r="E157" s="66" t="s">
        <v>1643</v>
      </c>
      <c r="F157" s="227"/>
      <c r="G157" s="228"/>
      <c r="H157" s="66"/>
      <c r="I157" s="66"/>
      <c r="J157" s="66"/>
      <c r="K157" s="66"/>
      <c r="L157" s="229"/>
      <c r="M157" s="66"/>
      <c r="N157" s="230"/>
      <c r="O157" s="230"/>
      <c r="P157" s="66"/>
      <c r="Q157" s="171">
        <f>P158</f>
        <v>240000</v>
      </c>
      <c r="R157" s="171">
        <v>0</v>
      </c>
      <c r="S157" s="171">
        <f>Q157-R157</f>
        <v>240000</v>
      </c>
      <c r="T157" s="172">
        <v>1</v>
      </c>
    </row>
    <row r="158" spans="1:27" ht="14.45" customHeight="1">
      <c r="A158" s="224"/>
      <c r="B158" s="225"/>
      <c r="C158" s="222"/>
      <c r="D158" s="222"/>
      <c r="E158" s="1037"/>
      <c r="F158" s="240" t="s">
        <v>1640</v>
      </c>
      <c r="G158" s="249"/>
      <c r="H158" s="240"/>
      <c r="I158" s="240"/>
      <c r="J158" s="240"/>
      <c r="K158" s="240"/>
      <c r="L158" s="240"/>
      <c r="M158" s="240"/>
      <c r="N158" s="244"/>
      <c r="O158" s="251"/>
      <c r="P158" s="251">
        <f>P159</f>
        <v>240000</v>
      </c>
      <c r="Q158" s="428"/>
      <c r="R158" s="428"/>
      <c r="S158" s="428"/>
      <c r="T158" s="429"/>
    </row>
    <row r="159" spans="1:27" ht="14.45" customHeight="1">
      <c r="A159" s="224"/>
      <c r="B159" s="225"/>
      <c r="C159" s="1342"/>
      <c r="D159" s="1342"/>
      <c r="E159" s="206"/>
      <c r="F159" s="1023" t="s">
        <v>928</v>
      </c>
      <c r="G159" s="579">
        <v>240000</v>
      </c>
      <c r="H159" s="283" t="s">
        <v>273</v>
      </c>
      <c r="I159" s="1343">
        <v>1</v>
      </c>
      <c r="J159" s="283"/>
      <c r="K159" s="284"/>
      <c r="L159" s="283"/>
      <c r="M159" s="283"/>
      <c r="N159" s="285"/>
      <c r="O159" s="285" t="s">
        <v>925</v>
      </c>
      <c r="P159" s="286">
        <f>G159*I159</f>
        <v>240000</v>
      </c>
      <c r="Q159" s="211"/>
      <c r="R159" s="211"/>
      <c r="S159" s="211"/>
      <c r="T159" s="212"/>
    </row>
    <row r="160" spans="1:27" ht="14.45" customHeight="1">
      <c r="A160" s="224"/>
      <c r="B160" s="225"/>
      <c r="C160" s="205" t="s">
        <v>290</v>
      </c>
      <c r="D160" s="1116"/>
      <c r="E160" s="280"/>
      <c r="F160" s="281"/>
      <c r="G160" s="282"/>
      <c r="H160" s="283"/>
      <c r="I160" s="592"/>
      <c r="J160" s="283"/>
      <c r="K160" s="284"/>
      <c r="L160" s="1402"/>
      <c r="M160" s="284"/>
      <c r="N160" s="285"/>
      <c r="O160" s="285"/>
      <c r="P160" s="286"/>
      <c r="Q160" s="1428">
        <f>Q161</f>
        <v>0</v>
      </c>
      <c r="R160" s="1428">
        <f>R161</f>
        <v>156000</v>
      </c>
      <c r="S160" s="211">
        <f>Q160-R160</f>
        <v>-156000</v>
      </c>
      <c r="T160" s="1429">
        <f t="shared" ref="T160:T162" si="15">S160/R160</f>
        <v>-1</v>
      </c>
      <c r="AA160" s="195"/>
    </row>
    <row r="161" spans="1:27" ht="14.45" customHeight="1">
      <c r="A161" s="224"/>
      <c r="B161" s="225"/>
      <c r="C161" s="1029"/>
      <c r="D161" s="554" t="s">
        <v>471</v>
      </c>
      <c r="E161" s="84"/>
      <c r="F161" s="555"/>
      <c r="G161" s="556"/>
      <c r="H161" s="557"/>
      <c r="I161" s="557"/>
      <c r="J161" s="557"/>
      <c r="K161" s="557"/>
      <c r="L161" s="558"/>
      <c r="M161" s="557"/>
      <c r="N161" s="559"/>
      <c r="O161" s="559"/>
      <c r="P161" s="557"/>
      <c r="Q161" s="560">
        <f>Q162</f>
        <v>0</v>
      </c>
      <c r="R161" s="560">
        <f>R162</f>
        <v>156000</v>
      </c>
      <c r="S161" s="560">
        <f>Q161-R161</f>
        <v>-156000</v>
      </c>
      <c r="T161" s="573">
        <f t="shared" si="15"/>
        <v>-1</v>
      </c>
      <c r="W161" s="236"/>
      <c r="AA161" s="195"/>
    </row>
    <row r="162" spans="1:27" ht="14.45" customHeight="1" thickBot="1">
      <c r="A162" s="425"/>
      <c r="B162" s="426"/>
      <c r="C162" s="1006"/>
      <c r="D162" s="1430"/>
      <c r="E162" s="1431" t="s">
        <v>291</v>
      </c>
      <c r="F162" s="1432"/>
      <c r="G162" s="1433"/>
      <c r="H162" s="1434"/>
      <c r="I162" s="1434"/>
      <c r="J162" s="1434"/>
      <c r="K162" s="1434"/>
      <c r="L162" s="1435"/>
      <c r="M162" s="1434"/>
      <c r="N162" s="1436"/>
      <c r="O162" s="1436"/>
      <c r="P162" s="1434"/>
      <c r="Q162" s="411">
        <v>0</v>
      </c>
      <c r="R162" s="411">
        <v>156000</v>
      </c>
      <c r="S162" s="412">
        <f>Q162-R162</f>
        <v>-156000</v>
      </c>
      <c r="T162" s="413">
        <f t="shared" si="15"/>
        <v>-1</v>
      </c>
      <c r="AA162" s="195"/>
    </row>
  </sheetData>
  <mergeCells count="14">
    <mergeCell ref="I52:J52"/>
    <mergeCell ref="A1:T1"/>
    <mergeCell ref="S2:T2"/>
    <mergeCell ref="A3:E3"/>
    <mergeCell ref="G3:P4"/>
    <mergeCell ref="Q3:Q4"/>
    <mergeCell ref="R3:R4"/>
    <mergeCell ref="S3:S4"/>
    <mergeCell ref="T3:T4"/>
    <mergeCell ref="I44:J44"/>
    <mergeCell ref="I48:J48"/>
    <mergeCell ref="I49:J49"/>
    <mergeCell ref="I50:J50"/>
    <mergeCell ref="I51:J51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scale="76" firstPageNumber="58" fitToHeight="0" orientation="landscape" useFirstPageNumber="1" horizontalDpi="4294967293" r:id="rId1"/>
  <headerFooter scaleWithDoc="0" alignWithMargins="0">
    <oddFooter>&amp;C&amp;P</oddFooter>
  </headerFooter>
  <rowBreaks count="3" manualBreakCount="3">
    <brk id="38" max="19" man="1"/>
    <brk id="76" max="19" man="1"/>
    <brk id="154" max="19" man="1"/>
  </rowBreaks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3399FF"/>
    <pageSetUpPr fitToPage="1"/>
  </sheetPr>
  <dimension ref="A1:AA215"/>
  <sheetViews>
    <sheetView view="pageBreakPreview" zoomScale="85" zoomScaleNormal="85" zoomScaleSheetLayoutView="85" workbookViewId="0">
      <pane ySplit="7" topLeftCell="A113" activePane="bottomLeft" state="frozen"/>
      <selection activeCell="V20" sqref="V20"/>
      <selection pane="bottomLeft" activeCell="V20" sqref="V20"/>
    </sheetView>
  </sheetViews>
  <sheetFormatPr defaultColWidth="9" defaultRowHeight="13.5"/>
  <cols>
    <col min="1" max="1" width="3.625" style="196" customWidth="1"/>
    <col min="2" max="4" width="3.625" style="193" customWidth="1"/>
    <col min="5" max="5" width="10.625" style="193" customWidth="1"/>
    <col min="6" max="6" width="31.375" style="194" customWidth="1"/>
    <col min="7" max="7" width="12.5" style="195" customWidth="1"/>
    <col min="8" max="8" width="2.125" style="196" customWidth="1"/>
    <col min="9" max="9" width="5" style="196" customWidth="1"/>
    <col min="10" max="10" width="2.125" style="196" customWidth="1"/>
    <col min="11" max="11" width="5.875" style="196" customWidth="1"/>
    <col min="12" max="12" width="2.625" style="197" customWidth="1"/>
    <col min="13" max="13" width="5.375" style="196" customWidth="1"/>
    <col min="14" max="14" width="2.25" style="196" customWidth="1"/>
    <col min="15" max="15" width="5.625" style="198" customWidth="1"/>
    <col min="16" max="16" width="2.625" style="198" customWidth="1"/>
    <col min="17" max="17" width="13.625" style="196" customWidth="1"/>
    <col min="18" max="18" width="10.625" style="199" customWidth="1"/>
    <col min="19" max="20" width="10.625" style="200" customWidth="1"/>
    <col min="21" max="21" width="10.625" style="289" customWidth="1"/>
    <col min="22" max="22" width="10.125" style="196" customWidth="1"/>
    <col min="23" max="23" width="14.375" style="196" customWidth="1"/>
    <col min="24" max="24" width="9.625" style="196" customWidth="1"/>
    <col min="25" max="25" width="10" style="196" customWidth="1"/>
    <col min="26" max="26" width="5.125" style="196" customWidth="1"/>
    <col min="27" max="27" width="10.875" style="195" bestFit="1" customWidth="1"/>
    <col min="28" max="16384" width="9" style="196"/>
  </cols>
  <sheetData>
    <row r="1" spans="1:27" s="192" customFormat="1" ht="35.1" customHeight="1">
      <c r="A1" s="1968" t="s">
        <v>350</v>
      </c>
      <c r="B1" s="1968"/>
      <c r="C1" s="1968"/>
      <c r="D1" s="1968"/>
      <c r="E1" s="1968"/>
      <c r="F1" s="1968"/>
      <c r="G1" s="1968"/>
      <c r="H1" s="1968"/>
      <c r="I1" s="1968"/>
      <c r="J1" s="1968"/>
      <c r="K1" s="1968"/>
      <c r="L1" s="1968"/>
      <c r="M1" s="1968"/>
      <c r="N1" s="1968"/>
      <c r="O1" s="1968"/>
      <c r="P1" s="1968"/>
      <c r="Q1" s="1968"/>
      <c r="R1" s="1968"/>
      <c r="S1" s="1968"/>
      <c r="T1" s="1968"/>
      <c r="U1" s="1968"/>
      <c r="AA1" s="1544"/>
    </row>
    <row r="2" spans="1:27" ht="15" customHeight="1" thickBot="1">
      <c r="A2" s="192" t="s">
        <v>351</v>
      </c>
      <c r="T2" s="1969" t="s">
        <v>352</v>
      </c>
      <c r="U2" s="1969"/>
    </row>
    <row r="3" spans="1:27" s="201" customFormat="1" ht="15" customHeight="1">
      <c r="A3" s="1990" t="s">
        <v>91</v>
      </c>
      <c r="B3" s="1939"/>
      <c r="C3" s="1939"/>
      <c r="D3" s="1939"/>
      <c r="E3" s="1939"/>
      <c r="F3" s="1753"/>
      <c r="G3" s="1940" t="s">
        <v>92</v>
      </c>
      <c r="H3" s="1940"/>
      <c r="I3" s="1940"/>
      <c r="J3" s="1940"/>
      <c r="K3" s="1940"/>
      <c r="L3" s="1940"/>
      <c r="M3" s="1940"/>
      <c r="N3" s="1940"/>
      <c r="O3" s="1940"/>
      <c r="P3" s="1940"/>
      <c r="Q3" s="1941"/>
      <c r="R3" s="1944" t="s">
        <v>93</v>
      </c>
      <c r="S3" s="1946" t="s">
        <v>94</v>
      </c>
      <c r="T3" s="1948" t="s">
        <v>95</v>
      </c>
      <c r="U3" s="1950" t="s">
        <v>96</v>
      </c>
      <c r="V3" s="1545"/>
      <c r="AA3" s="1545"/>
    </row>
    <row r="4" spans="1:27" s="201" customFormat="1" ht="15" customHeight="1" thickBot="1">
      <c r="A4" s="1742" t="s">
        <v>97</v>
      </c>
      <c r="B4" s="1743" t="s">
        <v>98</v>
      </c>
      <c r="C4" s="1743" t="s">
        <v>99</v>
      </c>
      <c r="D4" s="1743" t="s">
        <v>100</v>
      </c>
      <c r="E4" s="1743" t="s">
        <v>101</v>
      </c>
      <c r="F4" s="1754" t="s">
        <v>102</v>
      </c>
      <c r="G4" s="1942"/>
      <c r="H4" s="1942"/>
      <c r="I4" s="1942"/>
      <c r="J4" s="1942"/>
      <c r="K4" s="1942"/>
      <c r="L4" s="1942"/>
      <c r="M4" s="1942"/>
      <c r="N4" s="1942"/>
      <c r="O4" s="1942"/>
      <c r="P4" s="1942"/>
      <c r="Q4" s="1943"/>
      <c r="R4" s="1945"/>
      <c r="S4" s="1947"/>
      <c r="T4" s="1949"/>
      <c r="U4" s="1951"/>
      <c r="V4" s="195"/>
      <c r="AA4" s="1545"/>
    </row>
    <row r="5" spans="1:27" s="192" customFormat="1" ht="15" customHeight="1" thickBot="1">
      <c r="A5" s="68" t="s">
        <v>845</v>
      </c>
      <c r="B5" s="69"/>
      <c r="C5" s="69"/>
      <c r="D5" s="69"/>
      <c r="E5" s="69"/>
      <c r="F5" s="70"/>
      <c r="G5" s="71"/>
      <c r="H5" s="72"/>
      <c r="I5" s="72"/>
      <c r="J5" s="72"/>
      <c r="K5" s="72"/>
      <c r="L5" s="73"/>
      <c r="M5" s="72"/>
      <c r="N5" s="72"/>
      <c r="O5" s="74"/>
      <c r="P5" s="74"/>
      <c r="Q5" s="72"/>
      <c r="R5" s="75">
        <f>SUM(R6)</f>
        <v>358138000</v>
      </c>
      <c r="S5" s="75">
        <f>SUM(S6)</f>
        <v>245371000</v>
      </c>
      <c r="T5" s="75">
        <f>R5-S5</f>
        <v>112767000</v>
      </c>
      <c r="U5" s="203">
        <f>T5/S5</f>
        <v>0.45957753768782783</v>
      </c>
      <c r="V5" s="1034"/>
      <c r="W5" s="192">
        <v>358138000</v>
      </c>
      <c r="Y5" s="989">
        <f>R5-W5</f>
        <v>0</v>
      </c>
      <c r="AA5" s="1544"/>
    </row>
    <row r="6" spans="1:27" s="192" customFormat="1" ht="15" customHeight="1">
      <c r="A6" s="204"/>
      <c r="B6" s="205" t="s">
        <v>360</v>
      </c>
      <c r="C6" s="206"/>
      <c r="D6" s="206"/>
      <c r="E6" s="206"/>
      <c r="F6" s="207"/>
      <c r="G6" s="208"/>
      <c r="H6" s="209"/>
      <c r="I6" s="209"/>
      <c r="J6" s="209"/>
      <c r="K6" s="209"/>
      <c r="L6" s="581"/>
      <c r="M6" s="209"/>
      <c r="N6" s="209"/>
      <c r="O6" s="210"/>
      <c r="P6" s="210"/>
      <c r="Q6" s="209"/>
      <c r="R6" s="211">
        <f>R7+R117+R183+R199+R206</f>
        <v>358138000</v>
      </c>
      <c r="S6" s="211">
        <f>S7+S117+S183+S199+S206</f>
        <v>245371000</v>
      </c>
      <c r="T6" s="211">
        <f>R6-S6</f>
        <v>112767000</v>
      </c>
      <c r="U6" s="212">
        <f>T6/S6</f>
        <v>0.45957753768782783</v>
      </c>
      <c r="AA6" s="1544"/>
    </row>
    <row r="7" spans="1:27" s="192" customFormat="1" ht="15" customHeight="1">
      <c r="A7" s="204"/>
      <c r="B7" s="213"/>
      <c r="C7" s="214" t="s">
        <v>851</v>
      </c>
      <c r="D7" s="214"/>
      <c r="E7" s="214"/>
      <c r="F7" s="215"/>
      <c r="G7" s="216"/>
      <c r="H7" s="217"/>
      <c r="I7" s="217"/>
      <c r="J7" s="217"/>
      <c r="K7" s="217"/>
      <c r="L7" s="218"/>
      <c r="M7" s="217"/>
      <c r="N7" s="217"/>
      <c r="O7" s="219"/>
      <c r="P7" s="219"/>
      <c r="Q7" s="217"/>
      <c r="R7" s="220">
        <f>R8+R45</f>
        <v>278748000</v>
      </c>
      <c r="S7" s="220">
        <f>S8+S45</f>
        <v>180150000</v>
      </c>
      <c r="T7" s="220">
        <f>R7-S7</f>
        <v>98598000</v>
      </c>
      <c r="U7" s="221">
        <f t="shared" ref="U7:U8" si="0">T7/S7</f>
        <v>0.54731057452123233</v>
      </c>
      <c r="AA7" s="1544"/>
    </row>
    <row r="8" spans="1:27" s="192" customFormat="1" ht="15" customHeight="1">
      <c r="A8" s="204"/>
      <c r="B8" s="222"/>
      <c r="C8" s="223"/>
      <c r="D8" s="83" t="s">
        <v>362</v>
      </c>
      <c r="E8" s="84"/>
      <c r="F8" s="85"/>
      <c r="G8" s="86"/>
      <c r="H8" s="84"/>
      <c r="I8" s="84"/>
      <c r="J8" s="84"/>
      <c r="K8" s="84"/>
      <c r="L8" s="83"/>
      <c r="M8" s="84"/>
      <c r="N8" s="84"/>
      <c r="O8" s="87"/>
      <c r="P8" s="87"/>
      <c r="Q8" s="84"/>
      <c r="R8" s="76">
        <f>SUM(R9:R44)</f>
        <v>185845000</v>
      </c>
      <c r="S8" s="76">
        <f>S9+S14+S42</f>
        <v>132723000</v>
      </c>
      <c r="T8" s="76">
        <f>R8-S8</f>
        <v>53122000</v>
      </c>
      <c r="U8" s="77">
        <f t="shared" si="0"/>
        <v>0.40024713124326605</v>
      </c>
      <c r="AA8" s="1544"/>
    </row>
    <row r="9" spans="1:27" ht="15" customHeight="1">
      <c r="A9" s="224"/>
      <c r="B9" s="225"/>
      <c r="C9" s="226"/>
      <c r="D9" s="225"/>
      <c r="E9" s="66" t="s">
        <v>363</v>
      </c>
      <c r="F9" s="227"/>
      <c r="G9" s="228"/>
      <c r="H9" s="66"/>
      <c r="I9" s="66"/>
      <c r="J9" s="66"/>
      <c r="K9" s="66"/>
      <c r="L9" s="229"/>
      <c r="M9" s="66"/>
      <c r="N9" s="66"/>
      <c r="O9" s="230"/>
      <c r="P9" s="230"/>
      <c r="Q9" s="66"/>
      <c r="R9" s="171">
        <f>SUM(Q10)</f>
        <v>94929000</v>
      </c>
      <c r="S9" s="171">
        <v>70176000</v>
      </c>
      <c r="T9" s="171">
        <f>R9-S9</f>
        <v>24753000</v>
      </c>
      <c r="U9" s="172">
        <f>T9/S9</f>
        <v>0.35272742818057456</v>
      </c>
    </row>
    <row r="10" spans="1:27" ht="15" customHeight="1">
      <c r="A10" s="224"/>
      <c r="B10" s="225"/>
      <c r="C10" s="226"/>
      <c r="D10" s="225"/>
      <c r="E10" s="226"/>
      <c r="F10" s="231" t="s">
        <v>364</v>
      </c>
      <c r="G10" s="232"/>
      <c r="H10" s="226"/>
      <c r="I10" s="226"/>
      <c r="J10" s="226"/>
      <c r="K10" s="226"/>
      <c r="L10" s="1386"/>
      <c r="M10" s="226"/>
      <c r="N10" s="226"/>
      <c r="O10" s="233"/>
      <c r="P10" s="233"/>
      <c r="Q10" s="234">
        <f>SUM(Q11:Q13)</f>
        <v>94929000</v>
      </c>
      <c r="R10" s="101"/>
      <c r="S10" s="101"/>
      <c r="T10" s="101"/>
      <c r="U10" s="102"/>
      <c r="X10" s="196">
        <v>2018</v>
      </c>
      <c r="Y10" s="196">
        <v>2017</v>
      </c>
    </row>
    <row r="11" spans="1:27" ht="15" customHeight="1">
      <c r="A11" s="224"/>
      <c r="B11" s="225"/>
      <c r="C11" s="226"/>
      <c r="D11" s="225"/>
      <c r="E11" s="237"/>
      <c r="F11" s="248" t="s">
        <v>365</v>
      </c>
      <c r="G11" s="239">
        <v>2362000</v>
      </c>
      <c r="H11" s="240" t="s">
        <v>348</v>
      </c>
      <c r="I11" s="241">
        <v>1</v>
      </c>
      <c r="J11" s="240" t="s">
        <v>109</v>
      </c>
      <c r="K11" s="242">
        <v>12</v>
      </c>
      <c r="L11" s="243"/>
      <c r="M11" s="242"/>
      <c r="N11" s="242"/>
      <c r="O11" s="244"/>
      <c r="P11" s="244" t="s">
        <v>347</v>
      </c>
      <c r="Q11" s="245">
        <f>ROUNDUP(G11*I11*K11,-3)</f>
        <v>28344000</v>
      </c>
      <c r="R11" s="235"/>
      <c r="S11" s="997"/>
      <c r="T11" s="235"/>
      <c r="U11" s="246"/>
      <c r="V11" s="236"/>
      <c r="W11" s="196" t="s">
        <v>2337</v>
      </c>
      <c r="X11" s="236">
        <f>R8</f>
        <v>185845000</v>
      </c>
      <c r="Y11" s="236">
        <f>S8</f>
        <v>132723000</v>
      </c>
    </row>
    <row r="12" spans="1:27" ht="15" customHeight="1">
      <c r="A12" s="224"/>
      <c r="B12" s="225"/>
      <c r="C12" s="226"/>
      <c r="D12" s="225"/>
      <c r="E12" s="247"/>
      <c r="F12" s="248" t="s">
        <v>366</v>
      </c>
      <c r="G12" s="239">
        <v>1837900</v>
      </c>
      <c r="H12" s="240" t="s">
        <v>348</v>
      </c>
      <c r="I12" s="241">
        <v>3</v>
      </c>
      <c r="J12" s="240" t="s">
        <v>109</v>
      </c>
      <c r="K12" s="242">
        <v>12</v>
      </c>
      <c r="L12" s="243"/>
      <c r="M12" s="242"/>
      <c r="N12" s="242"/>
      <c r="O12" s="244"/>
      <c r="P12" s="244" t="s">
        <v>347</v>
      </c>
      <c r="Q12" s="245">
        <f>ROUNDUP(G12*I12*K12,-3)</f>
        <v>66165000</v>
      </c>
      <c r="R12" s="235"/>
      <c r="S12" s="997"/>
      <c r="T12" s="235"/>
      <c r="U12" s="246"/>
      <c r="W12" s="196" t="s">
        <v>2338</v>
      </c>
      <c r="X12" s="236">
        <f>R45</f>
        <v>92903000</v>
      </c>
      <c r="Y12" s="236">
        <f>S45</f>
        <v>47427000</v>
      </c>
    </row>
    <row r="13" spans="1:27" ht="15" customHeight="1">
      <c r="A13" s="224"/>
      <c r="B13" s="225"/>
      <c r="C13" s="226"/>
      <c r="D13" s="225"/>
      <c r="E13" s="247"/>
      <c r="F13" s="248" t="s">
        <v>852</v>
      </c>
      <c r="G13" s="239">
        <v>35000</v>
      </c>
      <c r="H13" s="240" t="s">
        <v>348</v>
      </c>
      <c r="I13" s="241">
        <v>1</v>
      </c>
      <c r="J13" s="240" t="s">
        <v>109</v>
      </c>
      <c r="K13" s="242">
        <v>12</v>
      </c>
      <c r="L13" s="243"/>
      <c r="M13" s="242"/>
      <c r="N13" s="242"/>
      <c r="O13" s="244"/>
      <c r="P13" s="244" t="s">
        <v>347</v>
      </c>
      <c r="Q13" s="245">
        <f>ROUNDUP(G13*I13*K13,-3)</f>
        <v>420000</v>
      </c>
      <c r="R13" s="235"/>
      <c r="S13" s="997"/>
      <c r="T13" s="235"/>
      <c r="U13" s="246"/>
      <c r="V13" s="236"/>
      <c r="W13" s="196" t="s">
        <v>2339</v>
      </c>
      <c r="X13" s="236">
        <f>R121</f>
        <v>52600000</v>
      </c>
      <c r="Y13" s="236">
        <f>S121</f>
        <v>41400000</v>
      </c>
    </row>
    <row r="14" spans="1:27" ht="15" customHeight="1">
      <c r="A14" s="224"/>
      <c r="B14" s="225"/>
      <c r="C14" s="226"/>
      <c r="D14" s="225"/>
      <c r="E14" s="66" t="s">
        <v>640</v>
      </c>
      <c r="F14" s="227"/>
      <c r="G14" s="228"/>
      <c r="H14" s="66"/>
      <c r="I14" s="66"/>
      <c r="J14" s="66"/>
      <c r="K14" s="66"/>
      <c r="L14" s="229"/>
      <c r="M14" s="66"/>
      <c r="N14" s="66"/>
      <c r="O14" s="230"/>
      <c r="P14" s="230"/>
      <c r="Q14" s="66"/>
      <c r="R14" s="171">
        <f>Q15+Q19+Q22+Q24+Q26+Q29+Q36+Q40+Q33</f>
        <v>75385000</v>
      </c>
      <c r="S14" s="171">
        <v>51759000</v>
      </c>
      <c r="T14" s="171">
        <f>R14-S14</f>
        <v>23626000</v>
      </c>
      <c r="U14" s="172">
        <f t="shared" ref="U14:U46" si="1">T14/S14</f>
        <v>0.45646167816225197</v>
      </c>
      <c r="V14" s="236"/>
      <c r="X14" s="236">
        <f>SUM(X11:X13)</f>
        <v>331348000</v>
      </c>
      <c r="Y14" s="236">
        <f>SUM(Y11:Y13)</f>
        <v>221550000</v>
      </c>
    </row>
    <row r="15" spans="1:27" ht="15" customHeight="1">
      <c r="A15" s="224"/>
      <c r="B15" s="225"/>
      <c r="C15" s="226"/>
      <c r="D15" s="225"/>
      <c r="E15" s="226"/>
      <c r="F15" s="231" t="s">
        <v>504</v>
      </c>
      <c r="G15" s="1387"/>
      <c r="H15" s="1168"/>
      <c r="I15" s="1168"/>
      <c r="J15" s="1168"/>
      <c r="K15" s="1168"/>
      <c r="L15" s="1389"/>
      <c r="M15" s="1168"/>
      <c r="N15" s="1168"/>
      <c r="O15" s="1171"/>
      <c r="P15" s="1171"/>
      <c r="Q15" s="1390">
        <f>SUM(Q16:Q18)</f>
        <v>7500000</v>
      </c>
      <c r="R15" s="119"/>
      <c r="S15" s="119"/>
      <c r="T15" s="119"/>
      <c r="U15" s="120"/>
      <c r="V15" s="236"/>
    </row>
    <row r="16" spans="1:27" ht="15" customHeight="1">
      <c r="A16" s="224"/>
      <c r="B16" s="225"/>
      <c r="C16" s="226"/>
      <c r="D16" s="225"/>
      <c r="E16" s="237"/>
      <c r="F16" s="248" t="s">
        <v>365</v>
      </c>
      <c r="G16" s="249">
        <v>125000</v>
      </c>
      <c r="H16" s="240" t="s">
        <v>348</v>
      </c>
      <c r="I16" s="241">
        <v>1</v>
      </c>
      <c r="J16" s="240" t="s">
        <v>109</v>
      </c>
      <c r="K16" s="242">
        <v>12</v>
      </c>
      <c r="L16" s="240"/>
      <c r="M16" s="240"/>
      <c r="N16" s="240"/>
      <c r="O16" s="240"/>
      <c r="P16" s="244" t="s">
        <v>347</v>
      </c>
      <c r="Q16" s="245">
        <f t="shared" ref="Q16" si="2">ROUNDUP(G16*I16*K16,-3)</f>
        <v>1500000</v>
      </c>
      <c r="R16" s="235"/>
      <c r="S16" s="997"/>
      <c r="T16" s="235"/>
      <c r="U16" s="246"/>
      <c r="W16" s="275"/>
    </row>
    <row r="17" spans="1:23" ht="15" customHeight="1">
      <c r="A17" s="224"/>
      <c r="B17" s="225"/>
      <c r="C17" s="226"/>
      <c r="D17" s="225"/>
      <c r="E17" s="237"/>
      <c r="F17" s="248" t="s">
        <v>366</v>
      </c>
      <c r="G17" s="252">
        <v>125000</v>
      </c>
      <c r="H17" s="240" t="s">
        <v>282</v>
      </c>
      <c r="I17" s="241">
        <v>3</v>
      </c>
      <c r="J17" s="240" t="s">
        <v>109</v>
      </c>
      <c r="K17" s="242">
        <v>12</v>
      </c>
      <c r="L17" s="243"/>
      <c r="M17" s="242"/>
      <c r="N17" s="242"/>
      <c r="O17" s="244"/>
      <c r="P17" s="244" t="s">
        <v>283</v>
      </c>
      <c r="Q17" s="245">
        <f>ROUNDUP(G17*I17*K17,-3)</f>
        <v>4500000</v>
      </c>
      <c r="R17" s="235"/>
      <c r="S17" s="997"/>
      <c r="T17" s="235"/>
      <c r="U17" s="246"/>
    </row>
    <row r="18" spans="1:23" ht="15" customHeight="1">
      <c r="A18" s="224"/>
      <c r="B18" s="225"/>
      <c r="C18" s="226"/>
      <c r="D18" s="225"/>
      <c r="E18" s="247"/>
      <c r="F18" s="248" t="s">
        <v>852</v>
      </c>
      <c r="G18" s="252">
        <v>125000</v>
      </c>
      <c r="H18" s="240" t="s">
        <v>277</v>
      </c>
      <c r="I18" s="241">
        <v>1</v>
      </c>
      <c r="J18" s="240" t="s">
        <v>109</v>
      </c>
      <c r="K18" s="242">
        <v>12</v>
      </c>
      <c r="L18" s="243"/>
      <c r="M18" s="242"/>
      <c r="N18" s="242"/>
      <c r="O18" s="244"/>
      <c r="P18" s="244" t="s">
        <v>347</v>
      </c>
      <c r="Q18" s="245">
        <f>ROUNDUP(G18*I18*K18,-3)</f>
        <v>1500000</v>
      </c>
      <c r="R18" s="235"/>
      <c r="S18" s="997"/>
      <c r="T18" s="235"/>
      <c r="U18" s="246"/>
    </row>
    <row r="19" spans="1:23" ht="15" customHeight="1">
      <c r="A19" s="224"/>
      <c r="B19" s="225"/>
      <c r="C19" s="226"/>
      <c r="D19" s="225"/>
      <c r="E19" s="237"/>
      <c r="F19" s="231" t="s">
        <v>853</v>
      </c>
      <c r="G19" s="249"/>
      <c r="H19" s="240"/>
      <c r="I19" s="240"/>
      <c r="J19" s="240"/>
      <c r="K19" s="240"/>
      <c r="L19" s="250"/>
      <c r="M19" s="240"/>
      <c r="N19" s="240"/>
      <c r="O19" s="244"/>
      <c r="P19" s="244"/>
      <c r="Q19" s="251">
        <f>SUM(Q20:Q21)</f>
        <v>1440000</v>
      </c>
      <c r="R19" s="235"/>
      <c r="S19" s="997"/>
      <c r="T19" s="235"/>
      <c r="U19" s="246"/>
    </row>
    <row r="20" spans="1:23" ht="15" customHeight="1">
      <c r="A20" s="224"/>
      <c r="B20" s="225"/>
      <c r="C20" s="226"/>
      <c r="D20" s="225"/>
      <c r="E20" s="247"/>
      <c r="F20" s="248" t="s">
        <v>854</v>
      </c>
      <c r="G20" s="252">
        <v>40000</v>
      </c>
      <c r="H20" s="240" t="s">
        <v>348</v>
      </c>
      <c r="I20" s="241">
        <v>2</v>
      </c>
      <c r="J20" s="240" t="s">
        <v>109</v>
      </c>
      <c r="K20" s="242">
        <v>12</v>
      </c>
      <c r="L20" s="243"/>
      <c r="M20" s="242"/>
      <c r="N20" s="242"/>
      <c r="O20" s="244"/>
      <c r="P20" s="244" t="s">
        <v>283</v>
      </c>
      <c r="Q20" s="245">
        <f>ROUNDUP(G20*I20*K20,-3)</f>
        <v>960000</v>
      </c>
      <c r="R20" s="235"/>
      <c r="S20" s="997"/>
      <c r="T20" s="235"/>
      <c r="U20" s="246"/>
    </row>
    <row r="21" spans="1:23" ht="15" customHeight="1">
      <c r="A21" s="224"/>
      <c r="B21" s="225"/>
      <c r="C21" s="226"/>
      <c r="D21" s="225"/>
      <c r="E21" s="247"/>
      <c r="F21" s="248" t="s">
        <v>855</v>
      </c>
      <c r="G21" s="252">
        <v>20000</v>
      </c>
      <c r="H21" s="240" t="s">
        <v>282</v>
      </c>
      <c r="I21" s="241">
        <v>2</v>
      </c>
      <c r="J21" s="240" t="s">
        <v>109</v>
      </c>
      <c r="K21" s="242">
        <v>12</v>
      </c>
      <c r="L21" s="243"/>
      <c r="M21" s="242"/>
      <c r="N21" s="242"/>
      <c r="O21" s="244"/>
      <c r="P21" s="244" t="s">
        <v>856</v>
      </c>
      <c r="Q21" s="245">
        <f>ROUNDUP(G21*I21*K21,-3)</f>
        <v>480000</v>
      </c>
      <c r="R21" s="235"/>
      <c r="S21" s="997"/>
      <c r="T21" s="235"/>
      <c r="U21" s="246"/>
    </row>
    <row r="22" spans="1:23" ht="15" customHeight="1">
      <c r="A22" s="224"/>
      <c r="B22" s="225"/>
      <c r="C22" s="226"/>
      <c r="D22" s="225"/>
      <c r="E22" s="237"/>
      <c r="F22" s="231" t="s">
        <v>367</v>
      </c>
      <c r="G22" s="249"/>
      <c r="H22" s="240"/>
      <c r="I22" s="240"/>
      <c r="J22" s="240"/>
      <c r="K22" s="240"/>
      <c r="L22" s="250"/>
      <c r="M22" s="240"/>
      <c r="N22" s="240"/>
      <c r="O22" s="244"/>
      <c r="P22" s="244"/>
      <c r="Q22" s="251">
        <f>SUM(Q23:Q23)</f>
        <v>7800000</v>
      </c>
      <c r="R22" s="235"/>
      <c r="S22" s="997"/>
      <c r="T22" s="235"/>
      <c r="U22" s="246"/>
      <c r="W22" s="275"/>
    </row>
    <row r="23" spans="1:23" ht="15" customHeight="1">
      <c r="A23" s="224"/>
      <c r="B23" s="225"/>
      <c r="C23" s="226"/>
      <c r="D23" s="225"/>
      <c r="E23" s="247"/>
      <c r="F23" s="238" t="s">
        <v>368</v>
      </c>
      <c r="G23" s="252">
        <v>130000</v>
      </c>
      <c r="H23" s="240" t="s">
        <v>857</v>
      </c>
      <c r="I23" s="241">
        <v>5</v>
      </c>
      <c r="J23" s="240" t="s">
        <v>109</v>
      </c>
      <c r="K23" s="242">
        <v>12</v>
      </c>
      <c r="L23" s="243"/>
      <c r="M23" s="242"/>
      <c r="N23" s="242"/>
      <c r="O23" s="244"/>
      <c r="P23" s="244" t="s">
        <v>283</v>
      </c>
      <c r="Q23" s="245">
        <f>ROUNDUP(G23*I23*K23,-3)</f>
        <v>7800000</v>
      </c>
      <c r="R23" s="235"/>
      <c r="S23" s="997"/>
      <c r="T23" s="235"/>
      <c r="U23" s="246"/>
    </row>
    <row r="24" spans="1:23" ht="15" customHeight="1">
      <c r="A24" s="224"/>
      <c r="B24" s="225"/>
      <c r="C24" s="226"/>
      <c r="D24" s="225"/>
      <c r="E24" s="237"/>
      <c r="F24" s="231" t="s">
        <v>858</v>
      </c>
      <c r="G24" s="249"/>
      <c r="H24" s="240"/>
      <c r="I24" s="240"/>
      <c r="J24" s="240"/>
      <c r="K24" s="240"/>
      <c r="L24" s="250"/>
      <c r="M24" s="240"/>
      <c r="N24" s="240"/>
      <c r="O24" s="244"/>
      <c r="P24" s="244"/>
      <c r="Q24" s="251">
        <f>SUM(Q25:Q25)</f>
        <v>1800000</v>
      </c>
      <c r="R24" s="235"/>
      <c r="S24" s="997"/>
      <c r="T24" s="235"/>
      <c r="U24" s="246"/>
    </row>
    <row r="25" spans="1:23" ht="15" customHeight="1">
      <c r="A25" s="224"/>
      <c r="B25" s="225"/>
      <c r="C25" s="226"/>
      <c r="D25" s="225"/>
      <c r="E25" s="247"/>
      <c r="F25" s="238" t="s">
        <v>859</v>
      </c>
      <c r="G25" s="252">
        <v>30000</v>
      </c>
      <c r="H25" s="240" t="s">
        <v>282</v>
      </c>
      <c r="I25" s="241">
        <v>5</v>
      </c>
      <c r="J25" s="240" t="s">
        <v>109</v>
      </c>
      <c r="K25" s="242">
        <v>12</v>
      </c>
      <c r="L25" s="243"/>
      <c r="M25" s="242"/>
      <c r="N25" s="242"/>
      <c r="O25" s="244"/>
      <c r="P25" s="244" t="s">
        <v>347</v>
      </c>
      <c r="Q25" s="245">
        <f>ROUNDUP(G25*I25*K25,-3)</f>
        <v>1800000</v>
      </c>
      <c r="R25" s="235"/>
      <c r="S25" s="997"/>
      <c r="T25" s="235"/>
      <c r="U25" s="246"/>
    </row>
    <row r="26" spans="1:23" ht="15" customHeight="1">
      <c r="A26" s="224"/>
      <c r="B26" s="225"/>
      <c r="C26" s="226"/>
      <c r="D26" s="225"/>
      <c r="E26" s="226"/>
      <c r="F26" s="231" t="s">
        <v>370</v>
      </c>
      <c r="G26" s="249"/>
      <c r="H26" s="240"/>
      <c r="I26" s="240"/>
      <c r="J26" s="240"/>
      <c r="K26" s="240"/>
      <c r="L26" s="250"/>
      <c r="M26" s="240"/>
      <c r="N26" s="240"/>
      <c r="O26" s="244"/>
      <c r="P26" s="244"/>
      <c r="Q26" s="251">
        <f>SUM(Q27:Q28)</f>
        <v>35825000</v>
      </c>
      <c r="R26" s="235"/>
      <c r="S26" s="997"/>
      <c r="T26" s="235"/>
      <c r="U26" s="246"/>
    </row>
    <row r="27" spans="1:23" ht="15" customHeight="1">
      <c r="A27" s="224"/>
      <c r="B27" s="225"/>
      <c r="C27" s="226"/>
      <c r="D27" s="225"/>
      <c r="E27" s="237"/>
      <c r="F27" s="238" t="s">
        <v>2512</v>
      </c>
      <c r="G27" s="252">
        <v>509000</v>
      </c>
      <c r="H27" s="240" t="s">
        <v>348</v>
      </c>
      <c r="I27" s="241">
        <v>5</v>
      </c>
      <c r="J27" s="240" t="s">
        <v>109</v>
      </c>
      <c r="K27" s="242">
        <v>12</v>
      </c>
      <c r="L27" s="250"/>
      <c r="M27" s="254"/>
      <c r="N27" s="254"/>
      <c r="O27" s="244"/>
      <c r="P27" s="244" t="s">
        <v>347</v>
      </c>
      <c r="Q27" s="245">
        <f>ROUNDUP(G27*I27*K27,-3)</f>
        <v>30540000</v>
      </c>
      <c r="R27" s="235"/>
      <c r="S27" s="997"/>
      <c r="T27" s="235"/>
      <c r="U27" s="246"/>
    </row>
    <row r="28" spans="1:23" ht="15" customHeight="1">
      <c r="A28" s="224"/>
      <c r="B28" s="225"/>
      <c r="C28" s="226"/>
      <c r="D28" s="225"/>
      <c r="E28" s="237"/>
      <c r="F28" s="238" t="s">
        <v>2544</v>
      </c>
      <c r="G28" s="252">
        <v>146800</v>
      </c>
      <c r="H28" s="240" t="s">
        <v>282</v>
      </c>
      <c r="I28" s="241">
        <v>3</v>
      </c>
      <c r="J28" s="240" t="s">
        <v>109</v>
      </c>
      <c r="K28" s="242">
        <v>12</v>
      </c>
      <c r="L28" s="250"/>
      <c r="M28" s="254"/>
      <c r="N28" s="254"/>
      <c r="O28" s="244"/>
      <c r="P28" s="244" t="s">
        <v>283</v>
      </c>
      <c r="Q28" s="245">
        <f>ROUNDUP(G28*I28*K28,-3)</f>
        <v>5285000</v>
      </c>
      <c r="R28" s="235"/>
      <c r="S28" s="997"/>
      <c r="T28" s="235"/>
      <c r="U28" s="246"/>
    </row>
    <row r="29" spans="1:23" ht="15" customHeight="1">
      <c r="A29" s="224"/>
      <c r="B29" s="225"/>
      <c r="C29" s="226"/>
      <c r="D29" s="225"/>
      <c r="E29" s="237"/>
      <c r="F29" s="231" t="s">
        <v>371</v>
      </c>
      <c r="G29" s="1393"/>
      <c r="H29" s="240"/>
      <c r="I29" s="240"/>
      <c r="J29" s="240"/>
      <c r="K29" s="240"/>
      <c r="L29" s="250"/>
      <c r="M29" s="240"/>
      <c r="N29" s="240"/>
      <c r="O29" s="244"/>
      <c r="P29" s="244"/>
      <c r="Q29" s="251">
        <f>SUM(Q30:Q32)</f>
        <v>5994000</v>
      </c>
      <c r="R29" s="235"/>
      <c r="S29" s="997"/>
      <c r="T29" s="235"/>
      <c r="U29" s="246"/>
    </row>
    <row r="30" spans="1:23" ht="15" customHeight="1">
      <c r="A30" s="224"/>
      <c r="B30" s="225"/>
      <c r="C30" s="226"/>
      <c r="D30" s="225"/>
      <c r="E30" s="237"/>
      <c r="F30" s="248" t="s">
        <v>377</v>
      </c>
      <c r="G30" s="252">
        <v>1113100</v>
      </c>
      <c r="H30" s="240" t="s">
        <v>348</v>
      </c>
      <c r="I30" s="241">
        <v>1</v>
      </c>
      <c r="J30" s="240" t="s">
        <v>109</v>
      </c>
      <c r="K30" s="242">
        <v>2</v>
      </c>
      <c r="L30" s="243"/>
      <c r="M30" s="242"/>
      <c r="N30" s="242"/>
      <c r="O30" s="244"/>
      <c r="P30" s="244" t="s">
        <v>347</v>
      </c>
      <c r="Q30" s="245">
        <f>ROUNDUP(G30*I30*K30,-3)</f>
        <v>2227000</v>
      </c>
      <c r="R30" s="235"/>
      <c r="S30" s="997"/>
      <c r="T30" s="235"/>
      <c r="U30" s="246"/>
    </row>
    <row r="31" spans="1:23" ht="15" customHeight="1">
      <c r="A31" s="224"/>
      <c r="B31" s="225"/>
      <c r="C31" s="226"/>
      <c r="D31" s="225"/>
      <c r="E31" s="247"/>
      <c r="F31" s="248" t="s">
        <v>366</v>
      </c>
      <c r="G31" s="252">
        <v>476600</v>
      </c>
      <c r="H31" s="240" t="s">
        <v>277</v>
      </c>
      <c r="I31" s="241">
        <v>3</v>
      </c>
      <c r="J31" s="240" t="s">
        <v>109</v>
      </c>
      <c r="K31" s="242">
        <v>2</v>
      </c>
      <c r="L31" s="243"/>
      <c r="M31" s="242"/>
      <c r="N31" s="242"/>
      <c r="O31" s="244"/>
      <c r="P31" s="244" t="s">
        <v>283</v>
      </c>
      <c r="Q31" s="245">
        <f>ROUNDUP(G31*I31*K31,-3)</f>
        <v>2860000</v>
      </c>
      <c r="R31" s="235"/>
      <c r="S31" s="997"/>
      <c r="T31" s="235"/>
      <c r="U31" s="246"/>
    </row>
    <row r="32" spans="1:23" ht="15" customHeight="1">
      <c r="A32" s="224"/>
      <c r="B32" s="225"/>
      <c r="C32" s="226"/>
      <c r="D32" s="225"/>
      <c r="E32" s="247"/>
      <c r="F32" s="248" t="s">
        <v>506</v>
      </c>
      <c r="G32" s="252">
        <v>453500</v>
      </c>
      <c r="H32" s="240" t="s">
        <v>277</v>
      </c>
      <c r="I32" s="241">
        <v>1</v>
      </c>
      <c r="J32" s="240" t="s">
        <v>109</v>
      </c>
      <c r="K32" s="242">
        <v>2</v>
      </c>
      <c r="L32" s="243"/>
      <c r="M32" s="242"/>
      <c r="N32" s="242"/>
      <c r="O32" s="244"/>
      <c r="P32" s="244" t="s">
        <v>281</v>
      </c>
      <c r="Q32" s="245">
        <f>ROUNDUP(G32*I32*K32,-3)</f>
        <v>907000</v>
      </c>
      <c r="R32" s="235"/>
      <c r="S32" s="997"/>
      <c r="T32" s="235"/>
      <c r="U32" s="246"/>
    </row>
    <row r="33" spans="1:25" ht="15" customHeight="1">
      <c r="A33" s="224"/>
      <c r="B33" s="225"/>
      <c r="C33" s="226"/>
      <c r="D33" s="225"/>
      <c r="E33" s="237"/>
      <c r="F33" s="231" t="s">
        <v>373</v>
      </c>
      <c r="G33" s="1393"/>
      <c r="H33" s="240"/>
      <c r="I33" s="240"/>
      <c r="J33" s="240"/>
      <c r="K33" s="240"/>
      <c r="L33" s="250"/>
      <c r="M33" s="240"/>
      <c r="N33" s="240"/>
      <c r="O33" s="244"/>
      <c r="P33" s="244"/>
      <c r="Q33" s="251">
        <f>SUM(Q34:Q35)</f>
        <v>2430000</v>
      </c>
      <c r="R33" s="235"/>
      <c r="S33" s="997"/>
      <c r="T33" s="235"/>
      <c r="U33" s="246"/>
    </row>
    <row r="34" spans="1:25" ht="15" customHeight="1">
      <c r="A34" s="224"/>
      <c r="B34" s="225"/>
      <c r="C34" s="226"/>
      <c r="D34" s="225"/>
      <c r="E34" s="237"/>
      <c r="F34" s="248" t="s">
        <v>139</v>
      </c>
      <c r="G34" s="252">
        <v>50000</v>
      </c>
      <c r="H34" s="240" t="s">
        <v>348</v>
      </c>
      <c r="I34" s="241">
        <v>4</v>
      </c>
      <c r="J34" s="240" t="s">
        <v>109</v>
      </c>
      <c r="K34" s="242">
        <v>12</v>
      </c>
      <c r="L34" s="243"/>
      <c r="M34" s="242"/>
      <c r="N34" s="242"/>
      <c r="O34" s="244"/>
      <c r="P34" s="244" t="s">
        <v>347</v>
      </c>
      <c r="Q34" s="245">
        <f>ROUNDUP(G34*I34*K34,-3)</f>
        <v>2400000</v>
      </c>
      <c r="R34" s="235"/>
      <c r="S34" s="997"/>
      <c r="T34" s="235"/>
      <c r="U34" s="246"/>
    </row>
    <row r="35" spans="1:25" ht="15" customHeight="1">
      <c r="A35" s="576"/>
      <c r="B35" s="278"/>
      <c r="C35" s="279"/>
      <c r="D35" s="278"/>
      <c r="E35" s="280"/>
      <c r="F35" s="281" t="s">
        <v>375</v>
      </c>
      <c r="G35" s="579">
        <v>10000</v>
      </c>
      <c r="H35" s="283" t="s">
        <v>348</v>
      </c>
      <c r="I35" s="1118">
        <v>1</v>
      </c>
      <c r="J35" s="283" t="s">
        <v>109</v>
      </c>
      <c r="K35" s="284">
        <v>3</v>
      </c>
      <c r="L35" s="1402"/>
      <c r="M35" s="284"/>
      <c r="N35" s="284"/>
      <c r="O35" s="285"/>
      <c r="P35" s="285" t="s">
        <v>281</v>
      </c>
      <c r="Q35" s="286">
        <f>ROUNDUP(G35*I35*K35,-3)</f>
        <v>30000</v>
      </c>
      <c r="R35" s="287"/>
      <c r="S35" s="1027"/>
      <c r="T35" s="287"/>
      <c r="U35" s="288"/>
    </row>
    <row r="36" spans="1:25" ht="15" customHeight="1">
      <c r="A36" s="224"/>
      <c r="B36" s="225"/>
      <c r="C36" s="226"/>
      <c r="D36" s="225"/>
      <c r="E36" s="237"/>
      <c r="F36" s="231" t="s">
        <v>511</v>
      </c>
      <c r="G36" s="1393"/>
      <c r="H36" s="240"/>
      <c r="I36" s="240"/>
      <c r="J36" s="240"/>
      <c r="K36" s="240"/>
      <c r="L36" s="250"/>
      <c r="M36" s="240"/>
      <c r="N36" s="240"/>
      <c r="O36" s="244"/>
      <c r="P36" s="244"/>
      <c r="Q36" s="251">
        <f>SUM(Q37:Q39)</f>
        <v>11566000</v>
      </c>
      <c r="R36" s="235"/>
      <c r="S36" s="997"/>
      <c r="T36" s="235"/>
      <c r="U36" s="246"/>
    </row>
    <row r="37" spans="1:25" ht="15" customHeight="1">
      <c r="A37" s="224"/>
      <c r="B37" s="225"/>
      <c r="C37" s="226"/>
      <c r="D37" s="225"/>
      <c r="E37" s="237"/>
      <c r="F37" s="248" t="s">
        <v>377</v>
      </c>
      <c r="G37" s="252">
        <v>1406000</v>
      </c>
      <c r="H37" s="240" t="s">
        <v>348</v>
      </c>
      <c r="I37" s="241">
        <v>1</v>
      </c>
      <c r="J37" s="240" t="s">
        <v>109</v>
      </c>
      <c r="K37" s="242">
        <v>2</v>
      </c>
      <c r="L37" s="243"/>
      <c r="M37" s="242"/>
      <c r="N37" s="242"/>
      <c r="O37" s="244"/>
      <c r="P37" s="244" t="s">
        <v>347</v>
      </c>
      <c r="Q37" s="245">
        <f>ROUNDUP(G37*I37*K37,-3)</f>
        <v>2812000</v>
      </c>
      <c r="R37" s="235"/>
      <c r="S37" s="997"/>
      <c r="T37" s="235"/>
      <c r="U37" s="246"/>
    </row>
    <row r="38" spans="1:25" ht="15" customHeight="1">
      <c r="A38" s="224"/>
      <c r="B38" s="225"/>
      <c r="C38" s="226"/>
      <c r="D38" s="225"/>
      <c r="E38" s="247"/>
      <c r="F38" s="248" t="s">
        <v>378</v>
      </c>
      <c r="G38" s="252">
        <v>1096100</v>
      </c>
      <c r="H38" s="240" t="s">
        <v>277</v>
      </c>
      <c r="I38" s="241">
        <v>3</v>
      </c>
      <c r="J38" s="240" t="s">
        <v>109</v>
      </c>
      <c r="K38" s="242">
        <v>2</v>
      </c>
      <c r="L38" s="243"/>
      <c r="M38" s="242"/>
      <c r="N38" s="242"/>
      <c r="O38" s="244"/>
      <c r="P38" s="244" t="s">
        <v>347</v>
      </c>
      <c r="Q38" s="245">
        <f>ROUNDUP(G38*I38*K38,-3)</f>
        <v>6577000</v>
      </c>
      <c r="R38" s="235"/>
      <c r="S38" s="997"/>
      <c r="T38" s="235"/>
      <c r="U38" s="246"/>
    </row>
    <row r="39" spans="1:25" ht="15" customHeight="1">
      <c r="A39" s="224"/>
      <c r="B39" s="225"/>
      <c r="C39" s="226"/>
      <c r="D39" s="225"/>
      <c r="E39" s="247"/>
      <c r="F39" s="248" t="s">
        <v>506</v>
      </c>
      <c r="G39" s="252">
        <v>1088400</v>
      </c>
      <c r="H39" s="240" t="s">
        <v>348</v>
      </c>
      <c r="I39" s="241">
        <v>1</v>
      </c>
      <c r="J39" s="240" t="s">
        <v>109</v>
      </c>
      <c r="K39" s="242">
        <v>2</v>
      </c>
      <c r="L39" s="243"/>
      <c r="M39" s="242"/>
      <c r="N39" s="242"/>
      <c r="O39" s="244"/>
      <c r="P39" s="244" t="s">
        <v>283</v>
      </c>
      <c r="Q39" s="245">
        <f>ROUNDUP(G39*I39*K39,-3)</f>
        <v>2177000</v>
      </c>
      <c r="R39" s="235"/>
      <c r="S39" s="997"/>
      <c r="T39" s="235"/>
      <c r="U39" s="246"/>
    </row>
    <row r="40" spans="1:25" ht="15" customHeight="1">
      <c r="A40" s="224"/>
      <c r="B40" s="225"/>
      <c r="C40" s="226"/>
      <c r="D40" s="225"/>
      <c r="E40" s="237"/>
      <c r="F40" s="231" t="s">
        <v>512</v>
      </c>
      <c r="G40" s="249"/>
      <c r="H40" s="240"/>
      <c r="I40" s="240"/>
      <c r="J40" s="240"/>
      <c r="K40" s="240"/>
      <c r="L40" s="250"/>
      <c r="M40" s="240"/>
      <c r="N40" s="240"/>
      <c r="O40" s="244"/>
      <c r="P40" s="244"/>
      <c r="Q40" s="251">
        <f>SUM(Q41:Q41)</f>
        <v>1030000</v>
      </c>
      <c r="R40" s="235"/>
      <c r="S40" s="997"/>
      <c r="T40" s="235"/>
      <c r="U40" s="246"/>
    </row>
    <row r="41" spans="1:25" ht="15" customHeight="1">
      <c r="A41" s="224"/>
      <c r="B41" s="225"/>
      <c r="C41" s="226"/>
      <c r="D41" s="225"/>
      <c r="E41" s="237"/>
      <c r="F41" s="238" t="s">
        <v>860</v>
      </c>
      <c r="G41" s="252">
        <v>103000</v>
      </c>
      <c r="H41" s="240" t="s">
        <v>277</v>
      </c>
      <c r="I41" s="241">
        <v>2</v>
      </c>
      <c r="J41" s="240" t="s">
        <v>109</v>
      </c>
      <c r="K41" s="1122">
        <v>5</v>
      </c>
      <c r="L41" s="250"/>
      <c r="M41" s="254"/>
      <c r="N41" s="254"/>
      <c r="O41" s="244"/>
      <c r="P41" s="244" t="s">
        <v>347</v>
      </c>
      <c r="Q41" s="245">
        <f>ROUNDUP(G41*I41*K41,-3)</f>
        <v>1030000</v>
      </c>
      <c r="R41" s="235"/>
      <c r="S41" s="997"/>
      <c r="T41" s="235"/>
      <c r="U41" s="246"/>
      <c r="W41" s="275"/>
    </row>
    <row r="42" spans="1:25" ht="15" customHeight="1">
      <c r="A42" s="224"/>
      <c r="B42" s="225"/>
      <c r="C42" s="226"/>
      <c r="D42" s="225"/>
      <c r="E42" s="255" t="s">
        <v>514</v>
      </c>
      <c r="F42" s="227"/>
      <c r="G42" s="228"/>
      <c r="H42" s="66"/>
      <c r="I42" s="66"/>
      <c r="J42" s="66"/>
      <c r="K42" s="66"/>
      <c r="L42" s="229"/>
      <c r="M42" s="66"/>
      <c r="N42" s="66"/>
      <c r="O42" s="230"/>
      <c r="P42" s="230"/>
      <c r="Q42" s="66"/>
      <c r="R42" s="171">
        <f>SUM(Q43)</f>
        <v>15531000</v>
      </c>
      <c r="S42" s="171">
        <v>10788000</v>
      </c>
      <c r="T42" s="171">
        <f>R42-S42</f>
        <v>4743000</v>
      </c>
      <c r="U42" s="172">
        <f t="shared" si="1"/>
        <v>0.43965517241379309</v>
      </c>
      <c r="V42" s="236"/>
    </row>
    <row r="43" spans="1:25" ht="15" customHeight="1">
      <c r="A43" s="224"/>
      <c r="B43" s="225"/>
      <c r="C43" s="226"/>
      <c r="D43" s="225"/>
      <c r="E43" s="226"/>
      <c r="F43" s="231" t="s">
        <v>861</v>
      </c>
      <c r="G43" s="249"/>
      <c r="H43" s="240"/>
      <c r="I43" s="240"/>
      <c r="J43" s="240"/>
      <c r="K43" s="240"/>
      <c r="L43" s="250"/>
      <c r="M43" s="240"/>
      <c r="N43" s="240"/>
      <c r="O43" s="244"/>
      <c r="P43" s="244"/>
      <c r="Q43" s="251">
        <f>SUM(Q44:Q44)</f>
        <v>15531000</v>
      </c>
      <c r="R43" s="235"/>
      <c r="S43" s="997"/>
      <c r="T43" s="235"/>
      <c r="U43" s="246"/>
    </row>
    <row r="44" spans="1:25" ht="15" customHeight="1">
      <c r="A44" s="224"/>
      <c r="B44" s="225"/>
      <c r="C44" s="226"/>
      <c r="D44" s="225"/>
      <c r="E44" s="226"/>
      <c r="F44" s="238" t="s">
        <v>381</v>
      </c>
      <c r="G44" s="252">
        <v>186369000</v>
      </c>
      <c r="H44" s="240" t="s">
        <v>348</v>
      </c>
      <c r="I44" s="1998">
        <v>12</v>
      </c>
      <c r="J44" s="1998"/>
      <c r="K44" s="242"/>
      <c r="L44" s="243"/>
      <c r="M44" s="242"/>
      <c r="N44" s="242"/>
      <c r="O44" s="244"/>
      <c r="P44" s="244" t="s">
        <v>283</v>
      </c>
      <c r="Q44" s="245">
        <f>ROUNDUP((G44/12),-3)</f>
        <v>15531000</v>
      </c>
      <c r="R44" s="235"/>
      <c r="S44" s="997"/>
      <c r="T44" s="235"/>
      <c r="U44" s="246"/>
    </row>
    <row r="45" spans="1:25" ht="15" customHeight="1">
      <c r="A45" s="224"/>
      <c r="B45" s="225"/>
      <c r="C45" s="226"/>
      <c r="D45" s="84" t="s">
        <v>382</v>
      </c>
      <c r="E45" s="84"/>
      <c r="F45" s="85"/>
      <c r="G45" s="86"/>
      <c r="H45" s="84"/>
      <c r="I45" s="84"/>
      <c r="J45" s="84"/>
      <c r="K45" s="84"/>
      <c r="L45" s="83"/>
      <c r="M45" s="84"/>
      <c r="N45" s="84"/>
      <c r="O45" s="87"/>
      <c r="P45" s="87"/>
      <c r="Q45" s="84"/>
      <c r="R45" s="76">
        <f>SUM(R46:R116)</f>
        <v>92903000</v>
      </c>
      <c r="S45" s="76">
        <f>SUM(S46:S116)</f>
        <v>47427000</v>
      </c>
      <c r="T45" s="76">
        <f>R45-S45</f>
        <v>45476000</v>
      </c>
      <c r="U45" s="135">
        <f t="shared" si="1"/>
        <v>0.95886309486157673</v>
      </c>
    </row>
    <row r="46" spans="1:25" ht="15" customHeight="1">
      <c r="A46" s="224"/>
      <c r="B46" s="225"/>
      <c r="C46" s="226"/>
      <c r="D46" s="225"/>
      <c r="E46" s="66" t="s">
        <v>433</v>
      </c>
      <c r="F46" s="227"/>
      <c r="G46" s="228"/>
      <c r="H46" s="66"/>
      <c r="I46" s="66"/>
      <c r="J46" s="66"/>
      <c r="K46" s="66"/>
      <c r="L46" s="229"/>
      <c r="M46" s="66"/>
      <c r="N46" s="66"/>
      <c r="O46" s="230"/>
      <c r="P46" s="230"/>
      <c r="Q46" s="66"/>
      <c r="R46" s="171">
        <f>Q47+Q54</f>
        <v>25631000</v>
      </c>
      <c r="S46" s="171">
        <v>24897000</v>
      </c>
      <c r="T46" s="171">
        <f>R46-S46</f>
        <v>734000</v>
      </c>
      <c r="U46" s="172">
        <f t="shared" si="1"/>
        <v>2.9481463630156243E-2</v>
      </c>
    </row>
    <row r="47" spans="1:25" ht="15" customHeight="1">
      <c r="A47" s="224"/>
      <c r="B47" s="225"/>
      <c r="C47" s="226"/>
      <c r="D47" s="225"/>
      <c r="E47" s="226"/>
      <c r="F47" s="231" t="s">
        <v>862</v>
      </c>
      <c r="G47" s="249"/>
      <c r="H47" s="240"/>
      <c r="I47" s="240"/>
      <c r="J47" s="240"/>
      <c r="K47" s="240"/>
      <c r="L47" s="250"/>
      <c r="M47" s="240"/>
      <c r="N47" s="240"/>
      <c r="O47" s="244"/>
      <c r="P47" s="244"/>
      <c r="Q47" s="251">
        <f>SUM(Q48:Q53)</f>
        <v>24191000</v>
      </c>
      <c r="R47" s="235"/>
      <c r="S47" s="997"/>
      <c r="T47" s="235"/>
      <c r="U47" s="246"/>
      <c r="W47" s="236"/>
    </row>
    <row r="48" spans="1:25" ht="15" customHeight="1">
      <c r="A48" s="224"/>
      <c r="B48" s="225"/>
      <c r="C48" s="226"/>
      <c r="D48" s="225"/>
      <c r="E48" s="237"/>
      <c r="F48" s="238" t="s">
        <v>863</v>
      </c>
      <c r="G48" s="252">
        <v>186386000</v>
      </c>
      <c r="H48" s="240" t="s">
        <v>348</v>
      </c>
      <c r="I48" s="1993">
        <v>4.4999999999999998E-2</v>
      </c>
      <c r="J48" s="1993"/>
      <c r="K48" s="242"/>
      <c r="L48" s="243"/>
      <c r="M48" s="242"/>
      <c r="N48" s="242"/>
      <c r="O48" s="244"/>
      <c r="P48" s="244" t="s">
        <v>347</v>
      </c>
      <c r="Q48" s="245">
        <f t="shared" ref="Q48:Q52" si="3">ROUNDUP(G48*I48,-3)</f>
        <v>8388000</v>
      </c>
      <c r="R48" s="235"/>
      <c r="S48" s="997"/>
      <c r="T48" s="235"/>
      <c r="U48" s="246"/>
      <c r="X48" s="196">
        <v>2018</v>
      </c>
      <c r="Y48" s="196">
        <v>2017</v>
      </c>
    </row>
    <row r="49" spans="1:27" ht="15" customHeight="1">
      <c r="A49" s="224"/>
      <c r="B49" s="225"/>
      <c r="C49" s="226"/>
      <c r="D49" s="225"/>
      <c r="E49" s="247"/>
      <c r="F49" s="248" t="s">
        <v>384</v>
      </c>
      <c r="G49" s="252">
        <v>186389000</v>
      </c>
      <c r="H49" s="240" t="s">
        <v>348</v>
      </c>
      <c r="I49" s="1993">
        <v>3.0599999999999999E-2</v>
      </c>
      <c r="J49" s="1993"/>
      <c r="K49" s="242"/>
      <c r="L49" s="243"/>
      <c r="M49" s="242"/>
      <c r="N49" s="242"/>
      <c r="O49" s="244"/>
      <c r="P49" s="244" t="s">
        <v>283</v>
      </c>
      <c r="Q49" s="245">
        <f t="shared" si="3"/>
        <v>5704000</v>
      </c>
      <c r="R49" s="235"/>
      <c r="S49" s="997"/>
      <c r="T49" s="235"/>
      <c r="U49" s="246"/>
      <c r="W49" s="196" t="s">
        <v>2154</v>
      </c>
      <c r="X49" s="236">
        <f>X52-X50</f>
        <v>86703000</v>
      </c>
      <c r="Y49" s="236">
        <f>Y52-Y50</f>
        <v>44427000</v>
      </c>
    </row>
    <row r="50" spans="1:27" ht="15" customHeight="1">
      <c r="A50" s="224"/>
      <c r="B50" s="225"/>
      <c r="C50" s="226"/>
      <c r="D50" s="225"/>
      <c r="E50" s="247"/>
      <c r="F50" s="248" t="s">
        <v>385</v>
      </c>
      <c r="G50" s="252">
        <f>Q49</f>
        <v>5704000</v>
      </c>
      <c r="H50" s="240" t="s">
        <v>277</v>
      </c>
      <c r="I50" s="1993">
        <v>6.5500000000000003E-2</v>
      </c>
      <c r="J50" s="1993"/>
      <c r="K50" s="242"/>
      <c r="L50" s="243"/>
      <c r="M50" s="242"/>
      <c r="N50" s="242"/>
      <c r="O50" s="244"/>
      <c r="P50" s="244" t="s">
        <v>283</v>
      </c>
      <c r="Q50" s="245">
        <f t="shared" si="3"/>
        <v>374000</v>
      </c>
      <c r="R50" s="235"/>
      <c r="S50" s="997"/>
      <c r="T50" s="235"/>
      <c r="U50" s="246"/>
      <c r="W50" s="196" t="s">
        <v>2155</v>
      </c>
      <c r="X50" s="236">
        <f>R113</f>
        <v>6200000</v>
      </c>
      <c r="Y50" s="236">
        <f>S113</f>
        <v>3000000</v>
      </c>
    </row>
    <row r="51" spans="1:27" ht="15" customHeight="1">
      <c r="A51" s="224"/>
      <c r="B51" s="225"/>
      <c r="C51" s="226"/>
      <c r="D51" s="225"/>
      <c r="E51" s="247"/>
      <c r="F51" s="248" t="s">
        <v>864</v>
      </c>
      <c r="G51" s="252">
        <v>186389000</v>
      </c>
      <c r="H51" s="240" t="s">
        <v>277</v>
      </c>
      <c r="I51" s="1993">
        <v>8.9999999999999993E-3</v>
      </c>
      <c r="J51" s="1993"/>
      <c r="K51" s="242"/>
      <c r="L51" s="243"/>
      <c r="M51" s="242"/>
      <c r="N51" s="242"/>
      <c r="O51" s="244"/>
      <c r="P51" s="244" t="s">
        <v>281</v>
      </c>
      <c r="Q51" s="245">
        <f t="shared" si="3"/>
        <v>1678000</v>
      </c>
      <c r="R51" s="235"/>
      <c r="S51" s="997"/>
      <c r="T51" s="235"/>
      <c r="U51" s="246"/>
    </row>
    <row r="52" spans="1:27" ht="15" customHeight="1">
      <c r="A52" s="224"/>
      <c r="B52" s="225"/>
      <c r="C52" s="226"/>
      <c r="D52" s="225"/>
      <c r="E52" s="247"/>
      <c r="F52" s="248" t="s">
        <v>436</v>
      </c>
      <c r="G52" s="252">
        <v>186389000</v>
      </c>
      <c r="H52" s="240" t="s">
        <v>277</v>
      </c>
      <c r="I52" s="1993">
        <v>8.9999999999999993E-3</v>
      </c>
      <c r="J52" s="1993"/>
      <c r="K52" s="242"/>
      <c r="L52" s="243"/>
      <c r="M52" s="242"/>
      <c r="N52" s="242"/>
      <c r="O52" s="244"/>
      <c r="P52" s="244" t="s">
        <v>283</v>
      </c>
      <c r="Q52" s="245">
        <f t="shared" si="3"/>
        <v>1678000</v>
      </c>
      <c r="R52" s="235"/>
      <c r="S52" s="997"/>
      <c r="T52" s="235"/>
      <c r="U52" s="246"/>
      <c r="W52" s="196" t="s">
        <v>2156</v>
      </c>
      <c r="X52" s="236">
        <f>R45</f>
        <v>92903000</v>
      </c>
      <c r="Y52" s="236">
        <f>S45</f>
        <v>47427000</v>
      </c>
    </row>
    <row r="53" spans="1:27" ht="15" customHeight="1">
      <c r="A53" s="224"/>
      <c r="B53" s="225"/>
      <c r="C53" s="226"/>
      <c r="D53" s="225"/>
      <c r="E53" s="247"/>
      <c r="F53" s="248" t="s">
        <v>520</v>
      </c>
      <c r="G53" s="252">
        <v>530750</v>
      </c>
      <c r="H53" s="240" t="s">
        <v>277</v>
      </c>
      <c r="I53" s="1999">
        <v>12</v>
      </c>
      <c r="J53" s="1999"/>
      <c r="K53" s="242"/>
      <c r="L53" s="243"/>
      <c r="M53" s="242"/>
      <c r="N53" s="242"/>
      <c r="O53" s="244"/>
      <c r="P53" s="244" t="s">
        <v>281</v>
      </c>
      <c r="Q53" s="245">
        <f>ROUNDUP(G53*I53,-3)</f>
        <v>6369000</v>
      </c>
      <c r="R53" s="235"/>
      <c r="S53" s="997"/>
      <c r="T53" s="235"/>
      <c r="U53" s="246"/>
    </row>
    <row r="54" spans="1:27" ht="15" customHeight="1">
      <c r="A54" s="224"/>
      <c r="B54" s="225"/>
      <c r="C54" s="226"/>
      <c r="D54" s="225"/>
      <c r="E54" s="247"/>
      <c r="F54" s="231" t="s">
        <v>367</v>
      </c>
      <c r="G54" s="252"/>
      <c r="H54" s="240"/>
      <c r="I54" s="528"/>
      <c r="J54" s="528"/>
      <c r="K54" s="242"/>
      <c r="L54" s="243"/>
      <c r="M54" s="242"/>
      <c r="N54" s="242"/>
      <c r="O54" s="244"/>
      <c r="P54" s="244"/>
      <c r="Q54" s="251">
        <f>SUM(Q55)</f>
        <v>1440000</v>
      </c>
      <c r="R54" s="235"/>
      <c r="S54" s="997"/>
      <c r="T54" s="235"/>
      <c r="U54" s="246"/>
    </row>
    <row r="55" spans="1:27" ht="15" customHeight="1">
      <c r="A55" s="224"/>
      <c r="B55" s="225"/>
      <c r="C55" s="226"/>
      <c r="D55" s="225"/>
      <c r="E55" s="247"/>
      <c r="F55" s="248" t="s">
        <v>865</v>
      </c>
      <c r="G55" s="252">
        <v>8000</v>
      </c>
      <c r="H55" s="240" t="s">
        <v>277</v>
      </c>
      <c r="I55" s="1546">
        <v>3</v>
      </c>
      <c r="J55" s="240" t="s">
        <v>277</v>
      </c>
      <c r="K55" s="256">
        <v>5</v>
      </c>
      <c r="L55" s="240" t="s">
        <v>282</v>
      </c>
      <c r="M55" s="242">
        <v>12</v>
      </c>
      <c r="N55" s="242"/>
      <c r="O55" s="244"/>
      <c r="P55" s="244" t="s">
        <v>281</v>
      </c>
      <c r="Q55" s="245">
        <f>G55*I55*K55*M55</f>
        <v>1440000</v>
      </c>
      <c r="R55" s="235"/>
      <c r="S55" s="997"/>
      <c r="T55" s="235"/>
      <c r="U55" s="246"/>
    </row>
    <row r="56" spans="1:27" ht="15" customHeight="1">
      <c r="A56" s="224"/>
      <c r="B56" s="225"/>
      <c r="C56" s="226"/>
      <c r="D56" s="225"/>
      <c r="E56" s="66" t="s">
        <v>866</v>
      </c>
      <c r="F56" s="227"/>
      <c r="G56" s="228"/>
      <c r="H56" s="66"/>
      <c r="I56" s="66"/>
      <c r="J56" s="66"/>
      <c r="K56" s="66"/>
      <c r="L56" s="229"/>
      <c r="M56" s="66"/>
      <c r="N56" s="66"/>
      <c r="O56" s="230"/>
      <c r="P56" s="230"/>
      <c r="Q56" s="66"/>
      <c r="R56" s="171">
        <f>Q57</f>
        <v>3800000</v>
      </c>
      <c r="S56" s="171">
        <v>0</v>
      </c>
      <c r="T56" s="171">
        <f>R56-S56</f>
        <v>3800000</v>
      </c>
      <c r="U56" s="172">
        <v>1</v>
      </c>
      <c r="V56" s="126"/>
      <c r="W56" s="249"/>
      <c r="X56" s="240"/>
      <c r="Y56" s="894"/>
    </row>
    <row r="57" spans="1:27" ht="15" customHeight="1">
      <c r="A57" s="224"/>
      <c r="B57" s="225"/>
      <c r="C57" s="226"/>
      <c r="D57" s="225"/>
      <c r="E57" s="226"/>
      <c r="F57" s="231" t="s">
        <v>867</v>
      </c>
      <c r="G57" s="249"/>
      <c r="H57" s="240"/>
      <c r="I57" s="240"/>
      <c r="J57" s="240"/>
      <c r="K57" s="240"/>
      <c r="L57" s="250"/>
      <c r="M57" s="240"/>
      <c r="N57" s="240"/>
      <c r="O57" s="244"/>
      <c r="P57" s="244"/>
      <c r="Q57" s="251">
        <f>SUM(Q58:Q59)</f>
        <v>3800000</v>
      </c>
      <c r="R57" s="235"/>
      <c r="S57" s="997"/>
      <c r="T57" s="235"/>
      <c r="U57" s="246"/>
      <c r="V57" s="126"/>
      <c r="W57" s="249"/>
      <c r="X57" s="240"/>
      <c r="Y57" s="894"/>
    </row>
    <row r="58" spans="1:27" ht="15" customHeight="1">
      <c r="A58" s="224"/>
      <c r="B58" s="225"/>
      <c r="C58" s="226"/>
      <c r="D58" s="225"/>
      <c r="E58" s="237"/>
      <c r="F58" s="238" t="s">
        <v>868</v>
      </c>
      <c r="G58" s="252">
        <v>50000</v>
      </c>
      <c r="H58" s="240" t="s">
        <v>277</v>
      </c>
      <c r="I58" s="1122">
        <v>12</v>
      </c>
      <c r="J58" s="240" t="s">
        <v>109</v>
      </c>
      <c r="K58" s="241">
        <v>5</v>
      </c>
      <c r="L58" s="243"/>
      <c r="M58" s="242"/>
      <c r="N58" s="242"/>
      <c r="O58" s="244"/>
      <c r="P58" s="244" t="s">
        <v>283</v>
      </c>
      <c r="Q58" s="249">
        <f>G58*I58*K58</f>
        <v>3000000</v>
      </c>
      <c r="R58" s="235"/>
      <c r="S58" s="997"/>
      <c r="T58" s="235"/>
      <c r="U58" s="246"/>
      <c r="V58" s="126"/>
      <c r="W58" s="249"/>
      <c r="X58" s="240"/>
      <c r="Y58" s="872"/>
    </row>
    <row r="59" spans="1:27" ht="15" customHeight="1">
      <c r="A59" s="224"/>
      <c r="B59" s="225"/>
      <c r="C59" s="226"/>
      <c r="D59" s="225"/>
      <c r="E59" s="247"/>
      <c r="F59" s="248" t="s">
        <v>869</v>
      </c>
      <c r="G59" s="249">
        <v>40000</v>
      </c>
      <c r="H59" s="240" t="s">
        <v>277</v>
      </c>
      <c r="I59" s="1122">
        <v>10</v>
      </c>
      <c r="J59" s="240" t="s">
        <v>109</v>
      </c>
      <c r="K59" s="241">
        <v>2</v>
      </c>
      <c r="L59" s="243"/>
      <c r="M59" s="242"/>
      <c r="N59" s="242"/>
      <c r="O59" s="244"/>
      <c r="P59" s="244" t="s">
        <v>347</v>
      </c>
      <c r="Q59" s="249">
        <f>G59*I59*K59</f>
        <v>800000</v>
      </c>
      <c r="R59" s="235"/>
      <c r="S59" s="997"/>
      <c r="T59" s="235"/>
      <c r="U59" s="246"/>
      <c r="V59" s="1547"/>
      <c r="W59" s="1548"/>
      <c r="X59" s="1549"/>
      <c r="Y59" s="1549"/>
      <c r="Z59" s="1550"/>
      <c r="AA59" s="1551"/>
    </row>
    <row r="60" spans="1:27" ht="15" customHeight="1">
      <c r="A60" s="224"/>
      <c r="B60" s="225"/>
      <c r="C60" s="226"/>
      <c r="D60" s="225"/>
      <c r="E60" s="66" t="s">
        <v>388</v>
      </c>
      <c r="F60" s="227"/>
      <c r="G60" s="228"/>
      <c r="H60" s="66"/>
      <c r="I60" s="66"/>
      <c r="J60" s="66"/>
      <c r="K60" s="66"/>
      <c r="L60" s="229"/>
      <c r="M60" s="66"/>
      <c r="N60" s="66"/>
      <c r="O60" s="230"/>
      <c r="P60" s="230"/>
      <c r="Q60" s="66"/>
      <c r="R60" s="171">
        <f>SUM(Q61+Q67)</f>
        <v>3184000</v>
      </c>
      <c r="S60" s="171">
        <v>1600000</v>
      </c>
      <c r="T60" s="171">
        <f>R60-S60</f>
        <v>1584000</v>
      </c>
      <c r="U60" s="172">
        <f>T60/S60</f>
        <v>0.99</v>
      </c>
      <c r="W60" s="275"/>
    </row>
    <row r="61" spans="1:27" ht="15" customHeight="1">
      <c r="A61" s="224"/>
      <c r="B61" s="225"/>
      <c r="C61" s="226"/>
      <c r="D61" s="225"/>
      <c r="E61" s="226"/>
      <c r="F61" s="231" t="s">
        <v>870</v>
      </c>
      <c r="G61" s="249"/>
      <c r="H61" s="240"/>
      <c r="I61" s="240"/>
      <c r="J61" s="240"/>
      <c r="K61" s="240"/>
      <c r="L61" s="250"/>
      <c r="M61" s="240"/>
      <c r="N61" s="240"/>
      <c r="O61" s="244"/>
      <c r="P61" s="244"/>
      <c r="Q61" s="251">
        <f>SUM(Q62:Q65)</f>
        <v>2784000</v>
      </c>
      <c r="R61" s="235"/>
      <c r="S61" s="997"/>
      <c r="T61" s="235"/>
      <c r="U61" s="246"/>
    </row>
    <row r="62" spans="1:27" ht="15" customHeight="1">
      <c r="A62" s="224"/>
      <c r="B62" s="225"/>
      <c r="C62" s="226"/>
      <c r="D62" s="225"/>
      <c r="E62" s="237"/>
      <c r="F62" s="238" t="s">
        <v>871</v>
      </c>
      <c r="G62" s="252">
        <v>100000</v>
      </c>
      <c r="H62" s="240" t="s">
        <v>282</v>
      </c>
      <c r="I62" s="242">
        <v>12</v>
      </c>
      <c r="J62" s="240"/>
      <c r="K62" s="242"/>
      <c r="L62" s="243"/>
      <c r="M62" s="242"/>
      <c r="N62" s="242"/>
      <c r="O62" s="244"/>
      <c r="P62" s="244" t="s">
        <v>347</v>
      </c>
      <c r="Q62" s="249">
        <f>G62*I62</f>
        <v>1200000</v>
      </c>
      <c r="R62" s="235"/>
      <c r="S62" s="997"/>
      <c r="T62" s="235"/>
      <c r="U62" s="246"/>
    </row>
    <row r="63" spans="1:27" ht="15" customHeight="1">
      <c r="A63" s="224"/>
      <c r="B63" s="225"/>
      <c r="C63" s="226"/>
      <c r="D63" s="225"/>
      <c r="E63" s="237"/>
      <c r="F63" s="238" t="s">
        <v>872</v>
      </c>
      <c r="G63" s="252">
        <v>55000</v>
      </c>
      <c r="H63" s="240" t="s">
        <v>348</v>
      </c>
      <c r="I63" s="242">
        <v>12</v>
      </c>
      <c r="J63" s="240"/>
      <c r="K63" s="242"/>
      <c r="L63" s="243"/>
      <c r="M63" s="242"/>
      <c r="N63" s="242"/>
      <c r="O63" s="244"/>
      <c r="P63" s="244" t="s">
        <v>283</v>
      </c>
      <c r="Q63" s="249">
        <f t="shared" ref="Q63:Q65" si="4">G63*I63</f>
        <v>660000</v>
      </c>
      <c r="R63" s="235"/>
      <c r="S63" s="997"/>
      <c r="T63" s="235"/>
      <c r="U63" s="246"/>
      <c r="W63" s="275"/>
    </row>
    <row r="64" spans="1:27" ht="15" customHeight="1">
      <c r="A64" s="224"/>
      <c r="B64" s="225"/>
      <c r="C64" s="226"/>
      <c r="D64" s="225"/>
      <c r="E64" s="237"/>
      <c r="F64" s="238" t="s">
        <v>873</v>
      </c>
      <c r="G64" s="252">
        <v>22000</v>
      </c>
      <c r="H64" s="240" t="s">
        <v>277</v>
      </c>
      <c r="I64" s="242">
        <v>12</v>
      </c>
      <c r="J64" s="240"/>
      <c r="K64" s="242"/>
      <c r="L64" s="243"/>
      <c r="M64" s="242"/>
      <c r="N64" s="242"/>
      <c r="O64" s="244"/>
      <c r="P64" s="244" t="s">
        <v>281</v>
      </c>
      <c r="Q64" s="249">
        <f t="shared" si="4"/>
        <v>264000</v>
      </c>
      <c r="R64" s="235"/>
      <c r="S64" s="997"/>
      <c r="T64" s="235"/>
      <c r="U64" s="246"/>
    </row>
    <row r="65" spans="1:27" ht="15" customHeight="1">
      <c r="A65" s="224"/>
      <c r="B65" s="225"/>
      <c r="C65" s="226"/>
      <c r="D65" s="225"/>
      <c r="E65" s="237"/>
      <c r="F65" s="238" t="s">
        <v>874</v>
      </c>
      <c r="G65" s="252">
        <v>55000</v>
      </c>
      <c r="H65" s="240" t="s">
        <v>277</v>
      </c>
      <c r="I65" s="242">
        <v>12</v>
      </c>
      <c r="J65" s="240"/>
      <c r="K65" s="242"/>
      <c r="L65" s="243"/>
      <c r="M65" s="242"/>
      <c r="N65" s="242"/>
      <c r="O65" s="244"/>
      <c r="P65" s="244" t="s">
        <v>283</v>
      </c>
      <c r="Q65" s="249">
        <f t="shared" si="4"/>
        <v>660000</v>
      </c>
      <c r="R65" s="235"/>
      <c r="S65" s="997"/>
      <c r="T65" s="235"/>
      <c r="U65" s="246"/>
    </row>
    <row r="66" spans="1:27" ht="15" customHeight="1">
      <c r="A66" s="224"/>
      <c r="B66" s="225"/>
      <c r="C66" s="226"/>
      <c r="D66" s="225"/>
      <c r="E66" s="237"/>
      <c r="F66" s="231" t="s">
        <v>390</v>
      </c>
      <c r="G66" s="249"/>
      <c r="H66" s="240"/>
      <c r="I66" s="240"/>
      <c r="J66" s="240"/>
      <c r="K66" s="240"/>
      <c r="L66" s="250"/>
      <c r="M66" s="240"/>
      <c r="N66" s="240"/>
      <c r="O66" s="244"/>
      <c r="P66" s="244"/>
      <c r="Q66" s="251">
        <f>SUM(Q67)</f>
        <v>400000</v>
      </c>
      <c r="R66" s="235"/>
      <c r="S66" s="997"/>
      <c r="T66" s="235"/>
      <c r="U66" s="246"/>
    </row>
    <row r="67" spans="1:27" ht="15" customHeight="1">
      <c r="A67" s="224"/>
      <c r="B67" s="225"/>
      <c r="C67" s="226"/>
      <c r="D67" s="225"/>
      <c r="E67" s="226"/>
      <c r="F67" s="238" t="s">
        <v>522</v>
      </c>
      <c r="G67" s="252">
        <v>400000</v>
      </c>
      <c r="H67" s="240" t="s">
        <v>277</v>
      </c>
      <c r="I67" s="256">
        <v>1</v>
      </c>
      <c r="J67" s="240"/>
      <c r="K67" s="242"/>
      <c r="L67" s="243"/>
      <c r="M67" s="242"/>
      <c r="N67" s="242"/>
      <c r="O67" s="244"/>
      <c r="P67" s="244" t="s">
        <v>283</v>
      </c>
      <c r="Q67" s="249">
        <f>G67*I67</f>
        <v>400000</v>
      </c>
      <c r="R67" s="235"/>
      <c r="S67" s="997"/>
      <c r="T67" s="235"/>
      <c r="U67" s="246"/>
    </row>
    <row r="68" spans="1:27" ht="15" customHeight="1">
      <c r="A68" s="224"/>
      <c r="B68" s="225"/>
      <c r="C68" s="226"/>
      <c r="D68" s="225"/>
      <c r="E68" s="66" t="s">
        <v>393</v>
      </c>
      <c r="F68" s="227"/>
      <c r="G68" s="228"/>
      <c r="H68" s="66"/>
      <c r="I68" s="66"/>
      <c r="J68" s="66"/>
      <c r="K68" s="66"/>
      <c r="L68" s="229"/>
      <c r="M68" s="66"/>
      <c r="N68" s="66"/>
      <c r="O68" s="230"/>
      <c r="P68" s="230"/>
      <c r="Q68" s="66"/>
      <c r="R68" s="171">
        <f>Q69</f>
        <v>24000000</v>
      </c>
      <c r="S68" s="1779">
        <v>0</v>
      </c>
      <c r="T68" s="171">
        <f>R68-S68</f>
        <v>24000000</v>
      </c>
      <c r="U68" s="172">
        <v>1</v>
      </c>
      <c r="AA68" s="196"/>
    </row>
    <row r="69" spans="1:27" ht="15" customHeight="1">
      <c r="A69" s="224"/>
      <c r="B69" s="225"/>
      <c r="C69" s="226"/>
      <c r="D69" s="225"/>
      <c r="E69" s="226"/>
      <c r="F69" s="231" t="s">
        <v>666</v>
      </c>
      <c r="G69" s="249"/>
      <c r="H69" s="240"/>
      <c r="I69" s="240"/>
      <c r="J69" s="240"/>
      <c r="K69" s="240"/>
      <c r="L69" s="250"/>
      <c r="M69" s="240"/>
      <c r="N69" s="240"/>
      <c r="O69" s="244"/>
      <c r="P69" s="244"/>
      <c r="Q69" s="251">
        <f>SUM(Q70)</f>
        <v>24000000</v>
      </c>
      <c r="R69" s="235"/>
      <c r="S69" s="997"/>
      <c r="T69" s="235"/>
      <c r="U69" s="246"/>
      <c r="AA69" s="196"/>
    </row>
    <row r="70" spans="1:27" ht="15" customHeight="1">
      <c r="A70" s="576"/>
      <c r="B70" s="278"/>
      <c r="C70" s="279"/>
      <c r="D70" s="278"/>
      <c r="E70" s="577"/>
      <c r="F70" s="578" t="s">
        <v>875</v>
      </c>
      <c r="G70" s="579">
        <v>2000000</v>
      </c>
      <c r="H70" s="283" t="s">
        <v>282</v>
      </c>
      <c r="I70" s="284">
        <v>12</v>
      </c>
      <c r="J70" s="283"/>
      <c r="K70" s="2000"/>
      <c r="L70" s="2000"/>
      <c r="M70" s="284"/>
      <c r="N70" s="284"/>
      <c r="O70" s="285"/>
      <c r="P70" s="285" t="s">
        <v>281</v>
      </c>
      <c r="Q70" s="286">
        <f>G70*I70</f>
        <v>24000000</v>
      </c>
      <c r="R70" s="287"/>
      <c r="S70" s="1027"/>
      <c r="T70" s="287"/>
      <c r="U70" s="288"/>
      <c r="AA70" s="196"/>
    </row>
    <row r="71" spans="1:27" ht="15" customHeight="1">
      <c r="A71" s="224"/>
      <c r="B71" s="225"/>
      <c r="C71" s="226"/>
      <c r="D71" s="225"/>
      <c r="E71" s="363" t="s">
        <v>876</v>
      </c>
      <c r="F71" s="227"/>
      <c r="G71" s="228"/>
      <c r="H71" s="66"/>
      <c r="I71" s="66"/>
      <c r="J71" s="66"/>
      <c r="K71" s="66"/>
      <c r="L71" s="229"/>
      <c r="M71" s="66"/>
      <c r="N71" s="66"/>
      <c r="O71" s="230"/>
      <c r="P71" s="230"/>
      <c r="Q71" s="66"/>
      <c r="R71" s="171">
        <f>Q72+Q74+Q76</f>
        <v>4400000</v>
      </c>
      <c r="S71" s="171">
        <v>600000</v>
      </c>
      <c r="T71" s="171">
        <f>R71-S71</f>
        <v>3800000</v>
      </c>
      <c r="U71" s="172">
        <f t="shared" ref="U71" si="5">T71/S71</f>
        <v>6.333333333333333</v>
      </c>
      <c r="V71" s="195"/>
    </row>
    <row r="72" spans="1:27" ht="15" customHeight="1">
      <c r="A72" s="224"/>
      <c r="B72" s="225"/>
      <c r="C72" s="226"/>
      <c r="D72" s="225"/>
      <c r="E72" s="226"/>
      <c r="F72" s="231" t="s">
        <v>669</v>
      </c>
      <c r="G72" s="249"/>
      <c r="H72" s="240"/>
      <c r="I72" s="240"/>
      <c r="J72" s="240"/>
      <c r="K72" s="240"/>
      <c r="L72" s="250"/>
      <c r="M72" s="240"/>
      <c r="N72" s="240"/>
      <c r="O72" s="244"/>
      <c r="P72" s="244"/>
      <c r="Q72" s="251">
        <f>SUM(Q73)</f>
        <v>600000</v>
      </c>
      <c r="R72" s="235"/>
      <c r="S72" s="997"/>
      <c r="T72" s="235"/>
      <c r="U72" s="246"/>
    </row>
    <row r="73" spans="1:27" ht="15" customHeight="1">
      <c r="A73" s="224"/>
      <c r="B73" s="225"/>
      <c r="C73" s="226"/>
      <c r="D73" s="225"/>
      <c r="E73" s="237"/>
      <c r="F73" s="238" t="s">
        <v>670</v>
      </c>
      <c r="G73" s="252">
        <v>50000</v>
      </c>
      <c r="H73" s="240" t="s">
        <v>282</v>
      </c>
      <c r="I73" s="242">
        <v>12</v>
      </c>
      <c r="J73" s="240"/>
      <c r="K73" s="242"/>
      <c r="L73" s="243"/>
      <c r="M73" s="242"/>
      <c r="N73" s="242"/>
      <c r="O73" s="244"/>
      <c r="P73" s="244" t="s">
        <v>281</v>
      </c>
      <c r="Q73" s="249">
        <f>G73*I73</f>
        <v>600000</v>
      </c>
      <c r="R73" s="235"/>
      <c r="S73" s="997"/>
      <c r="T73" s="235"/>
      <c r="U73" s="246"/>
    </row>
    <row r="74" spans="1:27" ht="15" customHeight="1">
      <c r="A74" s="224"/>
      <c r="B74" s="225"/>
      <c r="C74" s="226"/>
      <c r="D74" s="225"/>
      <c r="E74" s="226"/>
      <c r="F74" s="231" t="s">
        <v>877</v>
      </c>
      <c r="G74" s="249"/>
      <c r="H74" s="240"/>
      <c r="I74" s="240"/>
      <c r="J74" s="240"/>
      <c r="K74" s="240"/>
      <c r="L74" s="250"/>
      <c r="M74" s="240"/>
      <c r="N74" s="240"/>
      <c r="O74" s="244"/>
      <c r="P74" s="244"/>
      <c r="Q74" s="251">
        <f>SUM(Q75)</f>
        <v>3200000</v>
      </c>
      <c r="R74" s="235"/>
      <c r="S74" s="997"/>
      <c r="T74" s="235"/>
      <c r="U74" s="246"/>
    </row>
    <row r="75" spans="1:27" ht="15" customHeight="1">
      <c r="A75" s="224"/>
      <c r="B75" s="225"/>
      <c r="C75" s="226"/>
      <c r="D75" s="225"/>
      <c r="E75" s="247"/>
      <c r="F75" s="248" t="s">
        <v>878</v>
      </c>
      <c r="G75" s="252">
        <v>400000</v>
      </c>
      <c r="H75" s="240" t="s">
        <v>282</v>
      </c>
      <c r="I75" s="1552">
        <v>8</v>
      </c>
      <c r="J75" s="240"/>
      <c r="K75" s="242"/>
      <c r="L75" s="243"/>
      <c r="M75" s="242"/>
      <c r="N75" s="242"/>
      <c r="O75" s="244"/>
      <c r="P75" s="244" t="s">
        <v>879</v>
      </c>
      <c r="Q75" s="249">
        <f>G75*I75</f>
        <v>3200000</v>
      </c>
      <c r="R75" s="235"/>
      <c r="S75" s="997"/>
      <c r="T75" s="235"/>
      <c r="U75" s="246"/>
      <c r="Y75" s="275"/>
    </row>
    <row r="76" spans="1:27" ht="15" customHeight="1">
      <c r="A76" s="224"/>
      <c r="B76" s="225"/>
      <c r="C76" s="226"/>
      <c r="D76" s="225"/>
      <c r="E76" s="226"/>
      <c r="F76" s="231" t="s">
        <v>880</v>
      </c>
      <c r="G76" s="249"/>
      <c r="H76" s="240"/>
      <c r="I76" s="240"/>
      <c r="J76" s="240"/>
      <c r="K76" s="240"/>
      <c r="L76" s="250"/>
      <c r="M76" s="240"/>
      <c r="N76" s="240"/>
      <c r="O76" s="244"/>
      <c r="P76" s="244"/>
      <c r="Q76" s="251">
        <f>SUM(Q77)</f>
        <v>600000</v>
      </c>
      <c r="R76" s="235"/>
      <c r="S76" s="997"/>
      <c r="T76" s="235"/>
      <c r="U76" s="246"/>
      <c r="V76" s="126"/>
      <c r="W76" s="249"/>
      <c r="X76" s="240"/>
      <c r="Y76" s="872"/>
    </row>
    <row r="77" spans="1:27" ht="15" customHeight="1">
      <c r="A77" s="224"/>
      <c r="B77" s="225"/>
      <c r="C77" s="226"/>
      <c r="D77" s="225"/>
      <c r="E77" s="237"/>
      <c r="F77" s="238" t="s">
        <v>881</v>
      </c>
      <c r="G77" s="252">
        <v>50000</v>
      </c>
      <c r="H77" s="240" t="s">
        <v>282</v>
      </c>
      <c r="I77" s="242">
        <v>12</v>
      </c>
      <c r="J77" s="240"/>
      <c r="K77" s="242"/>
      <c r="L77" s="243"/>
      <c r="M77" s="242"/>
      <c r="N77" s="242"/>
      <c r="O77" s="244"/>
      <c r="P77" s="244" t="s">
        <v>281</v>
      </c>
      <c r="Q77" s="249">
        <f>G77*I77</f>
        <v>600000</v>
      </c>
      <c r="R77" s="235"/>
      <c r="S77" s="997"/>
      <c r="T77" s="235"/>
      <c r="U77" s="246"/>
      <c r="V77" s="126"/>
      <c r="W77" s="249"/>
      <c r="X77" s="240"/>
      <c r="Y77" s="894"/>
    </row>
    <row r="78" spans="1:27" ht="15" customHeight="1">
      <c r="A78" s="224"/>
      <c r="B78" s="225"/>
      <c r="C78" s="226"/>
      <c r="D78" s="225"/>
      <c r="E78" s="66" t="s">
        <v>882</v>
      </c>
      <c r="F78" s="227"/>
      <c r="G78" s="228"/>
      <c r="H78" s="66"/>
      <c r="I78" s="66"/>
      <c r="J78" s="66"/>
      <c r="K78" s="66"/>
      <c r="L78" s="229"/>
      <c r="M78" s="66"/>
      <c r="N78" s="66"/>
      <c r="O78" s="230"/>
      <c r="P78" s="230"/>
      <c r="Q78" s="66"/>
      <c r="R78" s="171">
        <f>Q79</f>
        <v>480000</v>
      </c>
      <c r="S78" s="171">
        <v>900000</v>
      </c>
      <c r="T78" s="171">
        <f>R78-S78</f>
        <v>-420000</v>
      </c>
      <c r="U78" s="172">
        <f t="shared" ref="U78:U105" si="6">T78/S78</f>
        <v>-0.46666666666666667</v>
      </c>
    </row>
    <row r="79" spans="1:27" ht="15" customHeight="1">
      <c r="A79" s="224"/>
      <c r="B79" s="225"/>
      <c r="C79" s="226"/>
      <c r="D79" s="225"/>
      <c r="E79" s="226"/>
      <c r="F79" s="231" t="s">
        <v>883</v>
      </c>
      <c r="G79" s="249"/>
      <c r="H79" s="240"/>
      <c r="I79" s="240"/>
      <c r="J79" s="240"/>
      <c r="K79" s="240"/>
      <c r="L79" s="250"/>
      <c r="M79" s="240"/>
      <c r="N79" s="240"/>
      <c r="O79" s="244"/>
      <c r="P79" s="244"/>
      <c r="Q79" s="251">
        <f>SUM(Q80)</f>
        <v>480000</v>
      </c>
      <c r="R79" s="235"/>
      <c r="S79" s="997"/>
      <c r="T79" s="235"/>
      <c r="U79" s="246"/>
      <c r="Y79" s="275"/>
    </row>
    <row r="80" spans="1:27" ht="15" customHeight="1">
      <c r="A80" s="224"/>
      <c r="B80" s="225"/>
      <c r="C80" s="226"/>
      <c r="D80" s="225"/>
      <c r="E80" s="237"/>
      <c r="F80" s="238" t="s">
        <v>884</v>
      </c>
      <c r="G80" s="252">
        <v>80000</v>
      </c>
      <c r="H80" s="240" t="s">
        <v>282</v>
      </c>
      <c r="I80" s="241">
        <v>6</v>
      </c>
      <c r="J80" s="240"/>
      <c r="K80" s="242"/>
      <c r="L80" s="243"/>
      <c r="M80" s="242"/>
      <c r="N80" s="242"/>
      <c r="O80" s="244"/>
      <c r="P80" s="244" t="s">
        <v>283</v>
      </c>
      <c r="Q80" s="249">
        <f>G80*I80</f>
        <v>480000</v>
      </c>
      <c r="R80" s="235"/>
      <c r="S80" s="997"/>
      <c r="T80" s="235"/>
      <c r="U80" s="246"/>
    </row>
    <row r="81" spans="1:25" ht="15" customHeight="1">
      <c r="A81" s="224"/>
      <c r="B81" s="225"/>
      <c r="C81" s="226"/>
      <c r="D81" s="225"/>
      <c r="E81" s="255" t="s">
        <v>401</v>
      </c>
      <c r="F81" s="227"/>
      <c r="G81" s="228"/>
      <c r="H81" s="66"/>
      <c r="I81" s="66"/>
      <c r="J81" s="66"/>
      <c r="K81" s="66"/>
      <c r="L81" s="229"/>
      <c r="M81" s="66"/>
      <c r="N81" s="66"/>
      <c r="O81" s="230"/>
      <c r="P81" s="230"/>
      <c r="Q81" s="66"/>
      <c r="R81" s="171">
        <f>Q82</f>
        <v>1600000</v>
      </c>
      <c r="S81" s="171">
        <v>300000</v>
      </c>
      <c r="T81" s="171">
        <f>R81-S81</f>
        <v>1300000</v>
      </c>
      <c r="U81" s="172">
        <f t="shared" si="6"/>
        <v>4.333333333333333</v>
      </c>
    </row>
    <row r="82" spans="1:25" ht="15" customHeight="1">
      <c r="A82" s="224"/>
      <c r="B82" s="225"/>
      <c r="C82" s="226"/>
      <c r="D82" s="225"/>
      <c r="E82" s="226"/>
      <c r="F82" s="231" t="s">
        <v>885</v>
      </c>
      <c r="G82" s="249"/>
      <c r="H82" s="240"/>
      <c r="I82" s="240"/>
      <c r="J82" s="240"/>
      <c r="K82" s="240"/>
      <c r="L82" s="250"/>
      <c r="M82" s="240"/>
      <c r="N82" s="240"/>
      <c r="O82" s="244"/>
      <c r="P82" s="244"/>
      <c r="Q82" s="251">
        <f>SUM(Q83:Q85)</f>
        <v>1600000</v>
      </c>
      <c r="R82" s="235"/>
      <c r="S82" s="997"/>
      <c r="T82" s="235"/>
      <c r="U82" s="246"/>
      <c r="Y82" s="275"/>
    </row>
    <row r="83" spans="1:25" ht="15" customHeight="1">
      <c r="A83" s="224"/>
      <c r="B83" s="225"/>
      <c r="C83" s="226"/>
      <c r="D83" s="225"/>
      <c r="E83" s="237"/>
      <c r="F83" s="238" t="s">
        <v>821</v>
      </c>
      <c r="G83" s="252">
        <v>200000</v>
      </c>
      <c r="H83" s="240" t="s">
        <v>277</v>
      </c>
      <c r="I83" s="256">
        <v>2</v>
      </c>
      <c r="J83" s="240"/>
      <c r="K83" s="242"/>
      <c r="L83" s="243"/>
      <c r="M83" s="242"/>
      <c r="N83" s="242"/>
      <c r="O83" s="244"/>
      <c r="P83" s="244" t="s">
        <v>281</v>
      </c>
      <c r="Q83" s="249">
        <f>G83*I83</f>
        <v>400000</v>
      </c>
      <c r="R83" s="235"/>
      <c r="S83" s="997"/>
      <c r="T83" s="235"/>
      <c r="U83" s="246"/>
      <c r="W83" s="275"/>
    </row>
    <row r="84" spans="1:25" ht="15" customHeight="1">
      <c r="A84" s="224"/>
      <c r="B84" s="225"/>
      <c r="C84" s="226"/>
      <c r="D84" s="225"/>
      <c r="E84" s="237"/>
      <c r="F84" s="238" t="s">
        <v>886</v>
      </c>
      <c r="G84" s="252">
        <v>600000</v>
      </c>
      <c r="H84" s="240" t="s">
        <v>282</v>
      </c>
      <c r="I84" s="256">
        <v>1</v>
      </c>
      <c r="J84" s="240"/>
      <c r="K84" s="242"/>
      <c r="L84" s="243"/>
      <c r="M84" s="242"/>
      <c r="N84" s="242"/>
      <c r="O84" s="244"/>
      <c r="P84" s="244" t="s">
        <v>281</v>
      </c>
      <c r="Q84" s="249">
        <f>G84*I84</f>
        <v>600000</v>
      </c>
      <c r="R84" s="235"/>
      <c r="S84" s="997"/>
      <c r="T84" s="235"/>
      <c r="U84" s="246"/>
    </row>
    <row r="85" spans="1:25" ht="15" customHeight="1">
      <c r="A85" s="224"/>
      <c r="B85" s="225"/>
      <c r="C85" s="226"/>
      <c r="D85" s="225"/>
      <c r="E85" s="237"/>
      <c r="F85" s="238" t="s">
        <v>887</v>
      </c>
      <c r="G85" s="252">
        <v>600000</v>
      </c>
      <c r="H85" s="240" t="s">
        <v>282</v>
      </c>
      <c r="I85" s="256">
        <v>1</v>
      </c>
      <c r="J85" s="240"/>
      <c r="K85" s="242"/>
      <c r="L85" s="243"/>
      <c r="M85" s="242"/>
      <c r="N85" s="242"/>
      <c r="O85" s="244"/>
      <c r="P85" s="244" t="s">
        <v>281</v>
      </c>
      <c r="Q85" s="249">
        <f>G85*I85</f>
        <v>600000</v>
      </c>
      <c r="R85" s="235"/>
      <c r="S85" s="997"/>
      <c r="T85" s="235"/>
      <c r="U85" s="246"/>
    </row>
    <row r="86" spans="1:25" ht="15" customHeight="1">
      <c r="A86" s="224"/>
      <c r="B86" s="225"/>
      <c r="C86" s="226"/>
      <c r="D86" s="225"/>
      <c r="E86" s="66" t="s">
        <v>888</v>
      </c>
      <c r="F86" s="227"/>
      <c r="G86" s="228"/>
      <c r="H86" s="66"/>
      <c r="I86" s="66"/>
      <c r="J86" s="66"/>
      <c r="K86" s="66"/>
      <c r="L86" s="229"/>
      <c r="M86" s="66"/>
      <c r="N86" s="66"/>
      <c r="O86" s="230"/>
      <c r="P86" s="230"/>
      <c r="Q86" s="66"/>
      <c r="R86" s="171">
        <f>Q87</f>
        <v>2796000</v>
      </c>
      <c r="S86" s="171">
        <v>11730000</v>
      </c>
      <c r="T86" s="171">
        <f>R86-S86</f>
        <v>-8934000</v>
      </c>
      <c r="U86" s="172">
        <f t="shared" si="6"/>
        <v>-0.76163682864450133</v>
      </c>
      <c r="Y86" s="275"/>
    </row>
    <row r="87" spans="1:25" ht="15" customHeight="1">
      <c r="A87" s="224"/>
      <c r="B87" s="225"/>
      <c r="C87" s="226"/>
      <c r="D87" s="225"/>
      <c r="E87" s="226"/>
      <c r="F87" s="231" t="s">
        <v>889</v>
      </c>
      <c r="G87" s="249"/>
      <c r="H87" s="240"/>
      <c r="I87" s="240"/>
      <c r="J87" s="240"/>
      <c r="K87" s="240"/>
      <c r="L87" s="250"/>
      <c r="M87" s="240"/>
      <c r="N87" s="240"/>
      <c r="O87" s="244"/>
      <c r="P87" s="244"/>
      <c r="Q87" s="251">
        <f>SUM(Q88:Q90)</f>
        <v>2796000</v>
      </c>
      <c r="R87" s="235"/>
      <c r="S87" s="997"/>
      <c r="T87" s="235"/>
      <c r="U87" s="246"/>
    </row>
    <row r="88" spans="1:25" ht="15" customHeight="1">
      <c r="A88" s="224"/>
      <c r="B88" s="225"/>
      <c r="C88" s="226"/>
      <c r="D88" s="225"/>
      <c r="E88" s="237"/>
      <c r="F88" s="238" t="s">
        <v>890</v>
      </c>
      <c r="G88" s="252">
        <v>165000</v>
      </c>
      <c r="H88" s="240" t="s">
        <v>282</v>
      </c>
      <c r="I88" s="242">
        <v>12</v>
      </c>
      <c r="J88" s="240" t="s">
        <v>109</v>
      </c>
      <c r="K88" s="1552">
        <v>1</v>
      </c>
      <c r="L88" s="243"/>
      <c r="M88" s="242"/>
      <c r="N88" s="242"/>
      <c r="O88" s="244"/>
      <c r="P88" s="244" t="s">
        <v>281</v>
      </c>
      <c r="Q88" s="249">
        <f>G88*I88*K88</f>
        <v>1980000</v>
      </c>
      <c r="R88" s="235"/>
      <c r="S88" s="997"/>
      <c r="T88" s="235"/>
      <c r="U88" s="246"/>
    </row>
    <row r="89" spans="1:25" ht="15" customHeight="1">
      <c r="A89" s="224"/>
      <c r="B89" s="225"/>
      <c r="C89" s="226"/>
      <c r="D89" s="225"/>
      <c r="E89" s="247"/>
      <c r="F89" s="248" t="s">
        <v>891</v>
      </c>
      <c r="G89" s="249">
        <v>43000</v>
      </c>
      <c r="H89" s="240" t="s">
        <v>277</v>
      </c>
      <c r="I89" s="242">
        <v>12</v>
      </c>
      <c r="J89" s="240" t="s">
        <v>109</v>
      </c>
      <c r="K89" s="1552">
        <v>1</v>
      </c>
      <c r="L89" s="243"/>
      <c r="M89" s="242"/>
      <c r="N89" s="242"/>
      <c r="O89" s="244"/>
      <c r="P89" s="244" t="s">
        <v>283</v>
      </c>
      <c r="Q89" s="249">
        <f>G89*I89*K89</f>
        <v>516000</v>
      </c>
      <c r="R89" s="235"/>
      <c r="S89" s="997"/>
      <c r="T89" s="235"/>
      <c r="U89" s="246"/>
    </row>
    <row r="90" spans="1:25" ht="15" customHeight="1">
      <c r="A90" s="224"/>
      <c r="B90" s="225"/>
      <c r="C90" s="226"/>
      <c r="D90" s="225"/>
      <c r="E90" s="247"/>
      <c r="F90" s="248" t="s">
        <v>523</v>
      </c>
      <c r="G90" s="249">
        <v>25000</v>
      </c>
      <c r="H90" s="240" t="s">
        <v>277</v>
      </c>
      <c r="I90" s="242">
        <v>12</v>
      </c>
      <c r="J90" s="240" t="s">
        <v>109</v>
      </c>
      <c r="K90" s="1552">
        <v>1</v>
      </c>
      <c r="L90" s="243"/>
      <c r="M90" s="242"/>
      <c r="N90" s="242"/>
      <c r="O90" s="244"/>
      <c r="P90" s="244" t="s">
        <v>283</v>
      </c>
      <c r="Q90" s="249">
        <f>G90*I90*K90</f>
        <v>300000</v>
      </c>
      <c r="R90" s="235"/>
      <c r="S90" s="997"/>
      <c r="T90" s="235"/>
      <c r="U90" s="246"/>
    </row>
    <row r="91" spans="1:25" ht="15" customHeight="1">
      <c r="A91" s="224"/>
      <c r="B91" s="225"/>
      <c r="C91" s="226"/>
      <c r="D91" s="225"/>
      <c r="E91" s="66" t="s">
        <v>410</v>
      </c>
      <c r="F91" s="227"/>
      <c r="G91" s="228"/>
      <c r="H91" s="66"/>
      <c r="I91" s="66"/>
      <c r="J91" s="66"/>
      <c r="K91" s="66"/>
      <c r="L91" s="229"/>
      <c r="M91" s="66"/>
      <c r="N91" s="66"/>
      <c r="O91" s="230"/>
      <c r="P91" s="230"/>
      <c r="Q91" s="66"/>
      <c r="R91" s="171">
        <f>Q92</f>
        <v>14510000</v>
      </c>
      <c r="S91" s="171">
        <v>2500000</v>
      </c>
      <c r="T91" s="171">
        <f>R91-S91</f>
        <v>12010000</v>
      </c>
      <c r="U91" s="172">
        <f t="shared" si="6"/>
        <v>4.8040000000000003</v>
      </c>
    </row>
    <row r="92" spans="1:25" ht="15" customHeight="1">
      <c r="A92" s="224"/>
      <c r="B92" s="225"/>
      <c r="C92" s="226"/>
      <c r="D92" s="225"/>
      <c r="E92" s="226"/>
      <c r="F92" s="231" t="s">
        <v>892</v>
      </c>
      <c r="G92" s="249"/>
      <c r="H92" s="240"/>
      <c r="I92" s="240"/>
      <c r="J92" s="240"/>
      <c r="K92" s="240"/>
      <c r="L92" s="250"/>
      <c r="M92" s="240"/>
      <c r="N92" s="240"/>
      <c r="O92" s="244"/>
      <c r="P92" s="244"/>
      <c r="Q92" s="251">
        <f>SUM(Q93:Q95)</f>
        <v>14510000</v>
      </c>
      <c r="R92" s="235"/>
      <c r="S92" s="997"/>
      <c r="T92" s="235"/>
      <c r="U92" s="246"/>
    </row>
    <row r="93" spans="1:25" ht="15" customHeight="1">
      <c r="A93" s="224"/>
      <c r="B93" s="225"/>
      <c r="C93" s="226"/>
      <c r="D93" s="225"/>
      <c r="E93" s="237"/>
      <c r="F93" s="238" t="s">
        <v>893</v>
      </c>
      <c r="G93" s="252">
        <v>5000000</v>
      </c>
      <c r="H93" s="240" t="s">
        <v>282</v>
      </c>
      <c r="I93" s="1820">
        <v>2</v>
      </c>
      <c r="J93" s="240"/>
      <c r="K93" s="242"/>
      <c r="L93" s="243"/>
      <c r="M93" s="242"/>
      <c r="N93" s="242"/>
      <c r="O93" s="244"/>
      <c r="P93" s="244" t="s">
        <v>281</v>
      </c>
      <c r="Q93" s="249">
        <f t="shared" ref="Q93:Q95" si="7">G93*I93</f>
        <v>10000000</v>
      </c>
      <c r="R93" s="235"/>
      <c r="S93" s="997"/>
      <c r="T93" s="235"/>
      <c r="U93" s="246"/>
      <c r="W93" s="275"/>
    </row>
    <row r="94" spans="1:25" ht="15" customHeight="1">
      <c r="A94" s="224"/>
      <c r="B94" s="225"/>
      <c r="C94" s="226"/>
      <c r="D94" s="225"/>
      <c r="E94" s="237"/>
      <c r="F94" s="238" t="s">
        <v>524</v>
      </c>
      <c r="G94" s="252">
        <v>1175000</v>
      </c>
      <c r="H94" s="240" t="s">
        <v>277</v>
      </c>
      <c r="I94" s="1820">
        <v>2</v>
      </c>
      <c r="J94" s="240"/>
      <c r="K94" s="242"/>
      <c r="L94" s="243"/>
      <c r="M94" s="242"/>
      <c r="N94" s="242"/>
      <c r="O94" s="244"/>
      <c r="P94" s="244" t="s">
        <v>283</v>
      </c>
      <c r="Q94" s="249">
        <f t="shared" si="7"/>
        <v>2350000</v>
      </c>
      <c r="R94" s="235"/>
      <c r="S94" s="997"/>
      <c r="T94" s="235"/>
      <c r="U94" s="246"/>
      <c r="W94" s="275"/>
    </row>
    <row r="95" spans="1:25" ht="15" customHeight="1">
      <c r="A95" s="224"/>
      <c r="B95" s="225"/>
      <c r="C95" s="226"/>
      <c r="D95" s="225"/>
      <c r="E95" s="237"/>
      <c r="F95" s="238" t="s">
        <v>525</v>
      </c>
      <c r="G95" s="252">
        <v>180000</v>
      </c>
      <c r="H95" s="240" t="s">
        <v>277</v>
      </c>
      <c r="I95" s="242">
        <v>12</v>
      </c>
      <c r="J95" s="240"/>
      <c r="K95" s="242"/>
      <c r="L95" s="243"/>
      <c r="M95" s="242"/>
      <c r="N95" s="242"/>
      <c r="O95" s="244"/>
      <c r="P95" s="244" t="s">
        <v>281</v>
      </c>
      <c r="Q95" s="249">
        <f t="shared" si="7"/>
        <v>2160000</v>
      </c>
      <c r="R95" s="235"/>
      <c r="S95" s="997"/>
      <c r="T95" s="235"/>
      <c r="U95" s="246"/>
    </row>
    <row r="96" spans="1:25" ht="15" customHeight="1">
      <c r="A96" s="224"/>
      <c r="B96" s="225"/>
      <c r="C96" s="226"/>
      <c r="D96" s="225"/>
      <c r="E96" s="66" t="s">
        <v>414</v>
      </c>
      <c r="F96" s="227"/>
      <c r="G96" s="228"/>
      <c r="H96" s="66"/>
      <c r="I96" s="66"/>
      <c r="J96" s="66"/>
      <c r="K96" s="66"/>
      <c r="L96" s="229"/>
      <c r="M96" s="66"/>
      <c r="N96" s="66"/>
      <c r="O96" s="230"/>
      <c r="P96" s="230"/>
      <c r="Q96" s="66"/>
      <c r="R96" s="171">
        <f>Q97</f>
        <v>1200000</v>
      </c>
      <c r="S96" s="171">
        <v>400000</v>
      </c>
      <c r="T96" s="171">
        <f>R96-S96</f>
        <v>800000</v>
      </c>
      <c r="U96" s="172">
        <f t="shared" si="6"/>
        <v>2</v>
      </c>
    </row>
    <row r="97" spans="1:26" ht="15" customHeight="1">
      <c r="A97" s="224"/>
      <c r="B97" s="225"/>
      <c r="C97" s="226"/>
      <c r="D97" s="225"/>
      <c r="E97" s="257"/>
      <c r="F97" s="258" t="s">
        <v>894</v>
      </c>
      <c r="G97" s="259"/>
      <c r="H97" s="260"/>
      <c r="I97" s="260"/>
      <c r="J97" s="260"/>
      <c r="K97" s="260"/>
      <c r="L97" s="1553"/>
      <c r="M97" s="260"/>
      <c r="N97" s="260"/>
      <c r="O97" s="261"/>
      <c r="P97" s="261"/>
      <c r="Q97" s="262">
        <f>SUM(Q98:Q100)</f>
        <v>1200000</v>
      </c>
      <c r="R97" s="263"/>
      <c r="S97" s="1004"/>
      <c r="T97" s="263"/>
      <c r="U97" s="264"/>
      <c r="Y97" s="275"/>
    </row>
    <row r="98" spans="1:26" ht="15" customHeight="1">
      <c r="A98" s="224"/>
      <c r="B98" s="225"/>
      <c r="C98" s="226"/>
      <c r="D98" s="225"/>
      <c r="E98" s="237"/>
      <c r="F98" s="238" t="s">
        <v>415</v>
      </c>
      <c r="G98" s="252">
        <v>300000</v>
      </c>
      <c r="H98" s="240" t="s">
        <v>277</v>
      </c>
      <c r="I98" s="256">
        <v>1</v>
      </c>
      <c r="J98" s="240"/>
      <c r="K98" s="242"/>
      <c r="L98" s="243"/>
      <c r="M98" s="242"/>
      <c r="N98" s="242"/>
      <c r="O98" s="244"/>
      <c r="P98" s="244" t="s">
        <v>281</v>
      </c>
      <c r="Q98" s="249">
        <f>G98*I98</f>
        <v>300000</v>
      </c>
      <c r="R98" s="235"/>
      <c r="S98" s="997"/>
      <c r="T98" s="235"/>
      <c r="U98" s="246"/>
    </row>
    <row r="99" spans="1:26" ht="15" customHeight="1">
      <c r="A99" s="224"/>
      <c r="B99" s="225"/>
      <c r="C99" s="226"/>
      <c r="D99" s="225"/>
      <c r="E99" s="237"/>
      <c r="F99" s="104" t="s">
        <v>895</v>
      </c>
      <c r="G99" s="252">
        <v>200000</v>
      </c>
      <c r="H99" s="240" t="s">
        <v>277</v>
      </c>
      <c r="I99" s="256">
        <v>1</v>
      </c>
      <c r="J99" s="240"/>
      <c r="K99" s="242"/>
      <c r="L99" s="243"/>
      <c r="M99" s="242"/>
      <c r="N99" s="242"/>
      <c r="O99" s="244"/>
      <c r="P99" s="244" t="s">
        <v>281</v>
      </c>
      <c r="Q99" s="249">
        <f>G99*I99</f>
        <v>200000</v>
      </c>
      <c r="R99" s="235"/>
      <c r="S99" s="997"/>
      <c r="T99" s="235"/>
      <c r="U99" s="246"/>
      <c r="W99" s="236"/>
      <c r="Y99" s="275"/>
    </row>
    <row r="100" spans="1:26" ht="15" customHeight="1">
      <c r="A100" s="224"/>
      <c r="B100" s="225"/>
      <c r="C100" s="226"/>
      <c r="D100" s="225"/>
      <c r="E100" s="247"/>
      <c r="F100" s="104" t="s">
        <v>896</v>
      </c>
      <c r="G100" s="249">
        <v>700000</v>
      </c>
      <c r="H100" s="240" t="s">
        <v>277</v>
      </c>
      <c r="I100" s="256">
        <v>1</v>
      </c>
      <c r="J100" s="240"/>
      <c r="K100" s="242"/>
      <c r="L100" s="243"/>
      <c r="M100" s="242"/>
      <c r="N100" s="242"/>
      <c r="O100" s="244"/>
      <c r="P100" s="244" t="s">
        <v>281</v>
      </c>
      <c r="Q100" s="249">
        <f>G100*I100</f>
        <v>700000</v>
      </c>
      <c r="R100" s="235"/>
      <c r="S100" s="997"/>
      <c r="T100" s="235"/>
      <c r="U100" s="246"/>
    </row>
    <row r="101" spans="1:26" ht="15" customHeight="1">
      <c r="A101" s="224"/>
      <c r="B101" s="225"/>
      <c r="C101" s="226"/>
      <c r="D101" s="225"/>
      <c r="E101" s="66" t="s">
        <v>897</v>
      </c>
      <c r="F101" s="227"/>
      <c r="G101" s="228"/>
      <c r="H101" s="66"/>
      <c r="I101" s="66"/>
      <c r="J101" s="66"/>
      <c r="K101" s="66"/>
      <c r="L101" s="229"/>
      <c r="M101" s="66"/>
      <c r="N101" s="66"/>
      <c r="O101" s="230"/>
      <c r="P101" s="230"/>
      <c r="Q101" s="66"/>
      <c r="R101" s="171">
        <f>Q102</f>
        <v>1902000</v>
      </c>
      <c r="S101" s="171">
        <v>300000</v>
      </c>
      <c r="T101" s="171">
        <f>R101-S101</f>
        <v>1602000</v>
      </c>
      <c r="U101" s="172">
        <f t="shared" si="6"/>
        <v>5.34</v>
      </c>
    </row>
    <row r="102" spans="1:26" ht="15" customHeight="1">
      <c r="A102" s="224"/>
      <c r="B102" s="225"/>
      <c r="C102" s="226"/>
      <c r="D102" s="225"/>
      <c r="E102" s="226"/>
      <c r="F102" s="231" t="s">
        <v>898</v>
      </c>
      <c r="G102" s="249"/>
      <c r="H102" s="240"/>
      <c r="I102" s="240"/>
      <c r="J102" s="240"/>
      <c r="K102" s="240"/>
      <c r="L102" s="250"/>
      <c r="M102" s="240"/>
      <c r="N102" s="240"/>
      <c r="O102" s="244"/>
      <c r="P102" s="244"/>
      <c r="Q102" s="251">
        <f>SUM(Q103:Q104)</f>
        <v>1902000</v>
      </c>
      <c r="R102" s="235"/>
      <c r="S102" s="997"/>
      <c r="T102" s="235"/>
      <c r="U102" s="246"/>
    </row>
    <row r="103" spans="1:26" ht="15" customHeight="1">
      <c r="A103" s="224"/>
      <c r="B103" s="225"/>
      <c r="C103" s="226"/>
      <c r="D103" s="225"/>
      <c r="E103" s="237"/>
      <c r="F103" s="238" t="s">
        <v>899</v>
      </c>
      <c r="G103" s="252">
        <v>121000</v>
      </c>
      <c r="H103" s="240" t="s">
        <v>282</v>
      </c>
      <c r="I103" s="242">
        <v>12</v>
      </c>
      <c r="J103" s="240"/>
      <c r="K103" s="242"/>
      <c r="L103" s="243"/>
      <c r="M103" s="242"/>
      <c r="N103" s="242"/>
      <c r="O103" s="244"/>
      <c r="P103" s="244" t="s">
        <v>281</v>
      </c>
      <c r="Q103" s="249">
        <f>G103*I103</f>
        <v>1452000</v>
      </c>
      <c r="R103" s="235"/>
      <c r="S103" s="997"/>
      <c r="T103" s="235"/>
      <c r="U103" s="246"/>
    </row>
    <row r="104" spans="1:26" ht="15" customHeight="1">
      <c r="A104" s="576"/>
      <c r="B104" s="278"/>
      <c r="C104" s="279"/>
      <c r="D104" s="278"/>
      <c r="E104" s="577"/>
      <c r="F104" s="578" t="s">
        <v>688</v>
      </c>
      <c r="G104" s="579">
        <v>450000</v>
      </c>
      <c r="H104" s="283" t="s">
        <v>277</v>
      </c>
      <c r="I104" s="580">
        <v>1</v>
      </c>
      <c r="J104" s="283"/>
      <c r="K104" s="284"/>
      <c r="L104" s="1402"/>
      <c r="M104" s="284"/>
      <c r="N104" s="284"/>
      <c r="O104" s="285"/>
      <c r="P104" s="285" t="s">
        <v>281</v>
      </c>
      <c r="Q104" s="282">
        <f>G104*I104</f>
        <v>450000</v>
      </c>
      <c r="R104" s="287"/>
      <c r="S104" s="1027"/>
      <c r="T104" s="287"/>
      <c r="U104" s="288"/>
    </row>
    <row r="105" spans="1:26" ht="15" customHeight="1">
      <c r="A105" s="224"/>
      <c r="B105" s="225"/>
      <c r="C105" s="226"/>
      <c r="D105" s="225"/>
      <c r="E105" s="363" t="s">
        <v>765</v>
      </c>
      <c r="F105" s="227"/>
      <c r="G105" s="228"/>
      <c r="H105" s="66"/>
      <c r="I105" s="66"/>
      <c r="J105" s="66"/>
      <c r="K105" s="66"/>
      <c r="L105" s="229"/>
      <c r="M105" s="66"/>
      <c r="N105" s="66"/>
      <c r="O105" s="230"/>
      <c r="P105" s="230"/>
      <c r="Q105" s="66"/>
      <c r="R105" s="171">
        <f>Q106+Q108</f>
        <v>2900000</v>
      </c>
      <c r="S105" s="171">
        <v>1200000</v>
      </c>
      <c r="T105" s="171">
        <f>R105-S105</f>
        <v>1700000</v>
      </c>
      <c r="U105" s="172">
        <f t="shared" si="6"/>
        <v>1.4166666666666667</v>
      </c>
    </row>
    <row r="106" spans="1:26" ht="15" customHeight="1">
      <c r="A106" s="224"/>
      <c r="B106" s="225"/>
      <c r="C106" s="226"/>
      <c r="D106" s="225"/>
      <c r="E106" s="226"/>
      <c r="F106" s="231" t="s">
        <v>234</v>
      </c>
      <c r="G106" s="249"/>
      <c r="H106" s="240"/>
      <c r="I106" s="240"/>
      <c r="J106" s="240"/>
      <c r="K106" s="240"/>
      <c r="L106" s="250"/>
      <c r="M106" s="240"/>
      <c r="N106" s="240"/>
      <c r="O106" s="244"/>
      <c r="P106" s="244"/>
      <c r="Q106" s="251">
        <f>SUM(Q107)</f>
        <v>2400000</v>
      </c>
      <c r="R106" s="235"/>
      <c r="S106" s="997"/>
      <c r="T106" s="235"/>
      <c r="U106" s="246"/>
      <c r="Y106" s="275"/>
      <c r="Z106" s="275"/>
    </row>
    <row r="107" spans="1:26" ht="15" customHeight="1">
      <c r="A107" s="224"/>
      <c r="B107" s="225"/>
      <c r="C107" s="226"/>
      <c r="D107" s="225"/>
      <c r="E107" s="237"/>
      <c r="F107" s="238" t="s">
        <v>900</v>
      </c>
      <c r="G107" s="252">
        <v>300000</v>
      </c>
      <c r="H107" s="240" t="s">
        <v>277</v>
      </c>
      <c r="I107" s="241">
        <v>8</v>
      </c>
      <c r="J107" s="240"/>
      <c r="K107" s="242"/>
      <c r="L107" s="243"/>
      <c r="M107" s="242"/>
      <c r="N107" s="242"/>
      <c r="O107" s="244"/>
      <c r="P107" s="244" t="s">
        <v>281</v>
      </c>
      <c r="Q107" s="249">
        <f>G107*I107</f>
        <v>2400000</v>
      </c>
      <c r="R107" s="235"/>
      <c r="S107" s="997"/>
      <c r="T107" s="235"/>
      <c r="U107" s="246"/>
    </row>
    <row r="108" spans="1:26" ht="15" customHeight="1">
      <c r="A108" s="224"/>
      <c r="B108" s="225"/>
      <c r="C108" s="226"/>
      <c r="D108" s="225"/>
      <c r="E108" s="226"/>
      <c r="F108" s="231" t="s">
        <v>901</v>
      </c>
      <c r="G108" s="249"/>
      <c r="H108" s="240"/>
      <c r="I108" s="240"/>
      <c r="J108" s="240"/>
      <c r="K108" s="240"/>
      <c r="L108" s="250"/>
      <c r="M108" s="240"/>
      <c r="N108" s="240"/>
      <c r="O108" s="244"/>
      <c r="P108" s="244"/>
      <c r="Q108" s="251">
        <f>SUM(Q109)</f>
        <v>500000</v>
      </c>
      <c r="R108" s="235"/>
      <c r="S108" s="997"/>
      <c r="T108" s="235"/>
      <c r="U108" s="246"/>
    </row>
    <row r="109" spans="1:26" ht="15" customHeight="1">
      <c r="A109" s="224"/>
      <c r="B109" s="225"/>
      <c r="C109" s="226"/>
      <c r="D109" s="225"/>
      <c r="E109" s="237"/>
      <c r="F109" s="238" t="s">
        <v>456</v>
      </c>
      <c r="G109" s="252">
        <v>500000</v>
      </c>
      <c r="H109" s="240" t="s">
        <v>282</v>
      </c>
      <c r="I109" s="256">
        <v>1</v>
      </c>
      <c r="J109" s="240"/>
      <c r="K109" s="242"/>
      <c r="L109" s="243"/>
      <c r="M109" s="242"/>
      <c r="N109" s="242"/>
      <c r="O109" s="244"/>
      <c r="P109" s="244" t="s">
        <v>281</v>
      </c>
      <c r="Q109" s="249">
        <f>G109*I109</f>
        <v>500000</v>
      </c>
      <c r="R109" s="235"/>
      <c r="S109" s="997"/>
      <c r="T109" s="235"/>
      <c r="U109" s="246"/>
    </row>
    <row r="110" spans="1:26" ht="15" customHeight="1">
      <c r="A110" s="224"/>
      <c r="B110" s="225"/>
      <c r="C110" s="226"/>
      <c r="D110" s="225"/>
      <c r="E110" s="66" t="s">
        <v>902</v>
      </c>
      <c r="F110" s="227"/>
      <c r="G110" s="228"/>
      <c r="H110" s="66"/>
      <c r="I110" s="66"/>
      <c r="J110" s="66"/>
      <c r="K110" s="66"/>
      <c r="L110" s="229"/>
      <c r="M110" s="66"/>
      <c r="N110" s="66"/>
      <c r="O110" s="230"/>
      <c r="P110" s="230"/>
      <c r="Q110" s="66"/>
      <c r="R110" s="171">
        <f>Q111</f>
        <v>300000</v>
      </c>
      <c r="S110" s="171">
        <v>0</v>
      </c>
      <c r="T110" s="171">
        <f>R110-S110</f>
        <v>300000</v>
      </c>
      <c r="U110" s="172">
        <v>1</v>
      </c>
    </row>
    <row r="111" spans="1:26" ht="15" customHeight="1">
      <c r="A111" s="224"/>
      <c r="B111" s="225"/>
      <c r="C111" s="226"/>
      <c r="D111" s="225"/>
      <c r="E111" s="226"/>
      <c r="F111" s="231" t="s">
        <v>422</v>
      </c>
      <c r="G111" s="249"/>
      <c r="H111" s="240"/>
      <c r="I111" s="240"/>
      <c r="J111" s="240"/>
      <c r="K111" s="240"/>
      <c r="L111" s="250"/>
      <c r="M111" s="240"/>
      <c r="N111" s="240"/>
      <c r="O111" s="244"/>
      <c r="P111" s="244"/>
      <c r="Q111" s="251">
        <f>SUM(Q112)</f>
        <v>300000</v>
      </c>
      <c r="R111" s="235"/>
      <c r="S111" s="997"/>
      <c r="T111" s="235"/>
      <c r="U111" s="246"/>
    </row>
    <row r="112" spans="1:26" ht="15" customHeight="1">
      <c r="A112" s="224"/>
      <c r="B112" s="225"/>
      <c r="C112" s="226"/>
      <c r="D112" s="225"/>
      <c r="E112" s="247"/>
      <c r="F112" s="248" t="s">
        <v>903</v>
      </c>
      <c r="G112" s="249">
        <v>150000</v>
      </c>
      <c r="H112" s="240" t="s">
        <v>277</v>
      </c>
      <c r="I112" s="1820">
        <v>2</v>
      </c>
      <c r="J112" s="240"/>
      <c r="K112" s="242"/>
      <c r="L112" s="243"/>
      <c r="M112" s="242"/>
      <c r="N112" s="242"/>
      <c r="O112" s="244"/>
      <c r="P112" s="244" t="s">
        <v>283</v>
      </c>
      <c r="Q112" s="249">
        <f>G112*I112</f>
        <v>300000</v>
      </c>
      <c r="R112" s="235"/>
      <c r="S112" s="997"/>
      <c r="T112" s="235"/>
      <c r="U112" s="246"/>
      <c r="W112" s="275"/>
    </row>
    <row r="113" spans="1:27" ht="15" customHeight="1">
      <c r="A113" s="224"/>
      <c r="B113" s="225"/>
      <c r="C113" s="226"/>
      <c r="D113" s="225"/>
      <c r="E113" s="66" t="s">
        <v>76</v>
      </c>
      <c r="F113" s="227"/>
      <c r="G113" s="228"/>
      <c r="H113" s="66"/>
      <c r="I113" s="66"/>
      <c r="J113" s="66"/>
      <c r="K113" s="66"/>
      <c r="L113" s="229"/>
      <c r="M113" s="66"/>
      <c r="N113" s="66"/>
      <c r="O113" s="230"/>
      <c r="P113" s="230"/>
      <c r="Q113" s="66"/>
      <c r="R113" s="171">
        <f>Q114</f>
        <v>6200000</v>
      </c>
      <c r="S113" s="171">
        <v>3000000</v>
      </c>
      <c r="T113" s="171">
        <f>R113-S113</f>
        <v>3200000</v>
      </c>
      <c r="U113" s="172">
        <f t="shared" ref="U113:U191" si="8">T113/S113</f>
        <v>1.0666666666666667</v>
      </c>
    </row>
    <row r="114" spans="1:27" ht="15" customHeight="1">
      <c r="A114" s="224"/>
      <c r="B114" s="225"/>
      <c r="C114" s="226"/>
      <c r="D114" s="225"/>
      <c r="E114" s="226"/>
      <c r="F114" s="231" t="s">
        <v>458</v>
      </c>
      <c r="G114" s="249"/>
      <c r="H114" s="240"/>
      <c r="I114" s="240"/>
      <c r="J114" s="240"/>
      <c r="K114" s="240"/>
      <c r="L114" s="250"/>
      <c r="M114" s="240"/>
      <c r="N114" s="240"/>
      <c r="O114" s="244"/>
      <c r="P114" s="244"/>
      <c r="Q114" s="251">
        <f>SUM(Q115:Q116)</f>
        <v>6200000</v>
      </c>
      <c r="R114" s="235"/>
      <c r="S114" s="997"/>
      <c r="T114" s="235"/>
      <c r="U114" s="246"/>
    </row>
    <row r="115" spans="1:27" ht="15" customHeight="1">
      <c r="A115" s="224"/>
      <c r="B115" s="225"/>
      <c r="C115" s="226"/>
      <c r="D115" s="225"/>
      <c r="E115" s="226"/>
      <c r="F115" s="238" t="s">
        <v>904</v>
      </c>
      <c r="G115" s="249">
        <v>1200000</v>
      </c>
      <c r="H115" s="240" t="s">
        <v>282</v>
      </c>
      <c r="I115" s="256">
        <v>1</v>
      </c>
      <c r="J115" s="240"/>
      <c r="K115" s="240"/>
      <c r="L115" s="250"/>
      <c r="M115" s="240"/>
      <c r="N115" s="240"/>
      <c r="O115" s="244"/>
      <c r="P115" s="244" t="s">
        <v>283</v>
      </c>
      <c r="Q115" s="249">
        <f>G115*I115</f>
        <v>1200000</v>
      </c>
      <c r="R115" s="235"/>
      <c r="S115" s="997"/>
      <c r="T115" s="235"/>
      <c r="U115" s="246"/>
    </row>
    <row r="116" spans="1:27" ht="15" customHeight="1">
      <c r="A116" s="224"/>
      <c r="B116" s="225"/>
      <c r="C116" s="226"/>
      <c r="D116" s="225"/>
      <c r="E116" s="237"/>
      <c r="F116" s="238" t="s">
        <v>905</v>
      </c>
      <c r="G116" s="252">
        <v>2500000</v>
      </c>
      <c r="H116" s="240" t="s">
        <v>277</v>
      </c>
      <c r="I116" s="1820">
        <v>2</v>
      </c>
      <c r="J116" s="240"/>
      <c r="K116" s="242"/>
      <c r="L116" s="243"/>
      <c r="M116" s="242"/>
      <c r="N116" s="242"/>
      <c r="O116" s="244"/>
      <c r="P116" s="244" t="s">
        <v>283</v>
      </c>
      <c r="Q116" s="249">
        <f>G116*I116</f>
        <v>5000000</v>
      </c>
      <c r="R116" s="235"/>
      <c r="S116" s="997"/>
      <c r="T116" s="235"/>
      <c r="U116" s="246"/>
    </row>
    <row r="117" spans="1:27" ht="15" customHeight="1">
      <c r="A117" s="224"/>
      <c r="B117" s="222"/>
      <c r="C117" s="266" t="s">
        <v>906</v>
      </c>
      <c r="D117" s="266"/>
      <c r="E117" s="214"/>
      <c r="F117" s="215"/>
      <c r="G117" s="216"/>
      <c r="H117" s="217"/>
      <c r="I117" s="217"/>
      <c r="J117" s="217"/>
      <c r="K117" s="217"/>
      <c r="L117" s="218"/>
      <c r="M117" s="217"/>
      <c r="N117" s="217"/>
      <c r="O117" s="219"/>
      <c r="P117" s="219"/>
      <c r="Q117" s="217"/>
      <c r="R117" s="220">
        <f>R118+R121</f>
        <v>52600000</v>
      </c>
      <c r="S117" s="220">
        <f>S118+S121</f>
        <v>41400000</v>
      </c>
      <c r="T117" s="220">
        <f>R117-S117</f>
        <v>11200000</v>
      </c>
      <c r="U117" s="221">
        <f t="shared" si="8"/>
        <v>0.27053140096618356</v>
      </c>
    </row>
    <row r="118" spans="1:27" s="826" customFormat="1" ht="15" customHeight="1">
      <c r="A118" s="857"/>
      <c r="B118" s="848"/>
      <c r="C118" s="856"/>
      <c r="D118" s="1296" t="s">
        <v>268</v>
      </c>
      <c r="E118" s="1297"/>
      <c r="F118" s="1297"/>
      <c r="G118" s="1298"/>
      <c r="H118" s="1297"/>
      <c r="I118" s="1297"/>
      <c r="J118" s="1297"/>
      <c r="K118" s="1297"/>
      <c r="L118" s="1299"/>
      <c r="M118" s="1297"/>
      <c r="N118" s="1297"/>
      <c r="O118" s="1300"/>
      <c r="P118" s="1300"/>
      <c r="Q118" s="1297"/>
      <c r="R118" s="76">
        <f>R119</f>
        <v>0</v>
      </c>
      <c r="S118" s="76">
        <f>S119+S186</f>
        <v>0</v>
      </c>
      <c r="T118" s="560">
        <f>R118-S118</f>
        <v>0</v>
      </c>
      <c r="U118" s="1302">
        <v>0</v>
      </c>
      <c r="AA118" s="1554"/>
    </row>
    <row r="119" spans="1:27" s="826" customFormat="1" ht="15" customHeight="1">
      <c r="A119" s="857"/>
      <c r="B119" s="858"/>
      <c r="C119" s="859"/>
      <c r="D119" s="860"/>
      <c r="E119" s="861" t="s">
        <v>269</v>
      </c>
      <c r="F119" s="1303"/>
      <c r="G119" s="1304"/>
      <c r="H119" s="1303"/>
      <c r="I119" s="1303"/>
      <c r="J119" s="1303"/>
      <c r="K119" s="1303"/>
      <c r="L119" s="1305"/>
      <c r="M119" s="1303"/>
      <c r="N119" s="1303"/>
      <c r="O119" s="1306"/>
      <c r="P119" s="1306"/>
      <c r="Q119" s="1303"/>
      <c r="R119" s="171">
        <f>Q120</f>
        <v>0</v>
      </c>
      <c r="S119" s="374">
        <v>0</v>
      </c>
      <c r="T119" s="374">
        <f>R119-S119</f>
        <v>0</v>
      </c>
      <c r="U119" s="864">
        <v>0</v>
      </c>
      <c r="AA119" s="1554"/>
    </row>
    <row r="120" spans="1:27" s="826" customFormat="1" ht="15" hidden="1" customHeight="1">
      <c r="A120" s="857"/>
      <c r="B120" s="858"/>
      <c r="C120" s="859"/>
      <c r="D120" s="858"/>
      <c r="E120" s="339"/>
      <c r="F120" s="339"/>
      <c r="G120" s="865"/>
      <c r="H120" s="339"/>
      <c r="I120" s="339"/>
      <c r="J120" s="339"/>
      <c r="K120" s="339"/>
      <c r="L120" s="1216"/>
      <c r="M120" s="339"/>
      <c r="N120" s="339"/>
      <c r="O120" s="866"/>
      <c r="P120" s="866"/>
      <c r="Q120" s="1555"/>
      <c r="R120" s="1198"/>
      <c r="S120" s="1198"/>
      <c r="T120" s="1198"/>
      <c r="U120" s="1199"/>
      <c r="AA120" s="1554"/>
    </row>
    <row r="121" spans="1:27" ht="15" customHeight="1">
      <c r="A121" s="224"/>
      <c r="B121" s="222"/>
      <c r="C121" s="223"/>
      <c r="D121" s="394" t="s">
        <v>907</v>
      </c>
      <c r="E121" s="84"/>
      <c r="F121" s="85"/>
      <c r="G121" s="86"/>
      <c r="H121" s="84"/>
      <c r="I121" s="84"/>
      <c r="J121" s="84"/>
      <c r="K121" s="84"/>
      <c r="L121" s="83"/>
      <c r="M121" s="84"/>
      <c r="N121" s="84"/>
      <c r="O121" s="87"/>
      <c r="P121" s="87"/>
      <c r="Q121" s="84"/>
      <c r="R121" s="76">
        <f>R122+R145+R177</f>
        <v>52600000</v>
      </c>
      <c r="S121" s="76">
        <f>S122+S145</f>
        <v>41400000</v>
      </c>
      <c r="T121" s="76">
        <f>R121-S121</f>
        <v>11200000</v>
      </c>
      <c r="U121" s="77">
        <f t="shared" si="8"/>
        <v>0.27053140096618356</v>
      </c>
    </row>
    <row r="122" spans="1:27" ht="15" customHeight="1">
      <c r="A122" s="224"/>
      <c r="B122" s="225"/>
      <c r="C122" s="226"/>
      <c r="D122" s="267"/>
      <c r="E122" s="66" t="s">
        <v>908</v>
      </c>
      <c r="F122" s="269"/>
      <c r="G122" s="270"/>
      <c r="H122" s="268"/>
      <c r="I122" s="268"/>
      <c r="J122" s="268"/>
      <c r="K122" s="268"/>
      <c r="L122" s="1556"/>
      <c r="M122" s="268"/>
      <c r="N122" s="268"/>
      <c r="O122" s="271"/>
      <c r="P122" s="271"/>
      <c r="Q122" s="268"/>
      <c r="R122" s="171">
        <f>Q124+Q129+Q134+Q140</f>
        <v>35000000</v>
      </c>
      <c r="S122" s="171">
        <v>35600000</v>
      </c>
      <c r="T122" s="171">
        <f>R122-S122</f>
        <v>-600000</v>
      </c>
      <c r="U122" s="172">
        <f t="shared" si="8"/>
        <v>-1.6853932584269662E-2</v>
      </c>
    </row>
    <row r="123" spans="1:27" ht="15" customHeight="1">
      <c r="A123" s="224"/>
      <c r="B123" s="225"/>
      <c r="C123" s="226"/>
      <c r="D123" s="225"/>
      <c r="E123" s="226"/>
      <c r="F123" s="96" t="s">
        <v>528</v>
      </c>
      <c r="G123" s="249"/>
      <c r="H123" s="240"/>
      <c r="I123" s="240"/>
      <c r="J123" s="240"/>
      <c r="K123" s="240"/>
      <c r="L123" s="250"/>
      <c r="M123" s="240"/>
      <c r="N123" s="240"/>
      <c r="O123" s="244"/>
      <c r="P123" s="244"/>
      <c r="Q123" s="251"/>
      <c r="R123" s="235"/>
      <c r="S123" s="997"/>
      <c r="T123" s="235"/>
      <c r="U123" s="246"/>
    </row>
    <row r="124" spans="1:27" ht="15" customHeight="1">
      <c r="A124" s="224"/>
      <c r="B124" s="225"/>
      <c r="C124" s="226"/>
      <c r="D124" s="225"/>
      <c r="E124" s="226"/>
      <c r="F124" s="126" t="s">
        <v>909</v>
      </c>
      <c r="G124" s="249"/>
      <c r="H124" s="240"/>
      <c r="I124" s="894"/>
      <c r="J124" s="240"/>
      <c r="K124" s="240"/>
      <c r="L124" s="250"/>
      <c r="M124" s="240"/>
      <c r="N124" s="240"/>
      <c r="O124" s="244"/>
      <c r="P124" s="244"/>
      <c r="Q124" s="251">
        <f>SUM(Q125:Q128)</f>
        <v>10000000</v>
      </c>
      <c r="R124" s="235"/>
      <c r="S124" s="997"/>
      <c r="T124" s="235"/>
      <c r="U124" s="246"/>
      <c r="V124" s="226"/>
      <c r="W124" s="90"/>
      <c r="X124" s="123"/>
    </row>
    <row r="125" spans="1:27" ht="15" customHeight="1">
      <c r="A125" s="224"/>
      <c r="B125" s="225"/>
      <c r="C125" s="226"/>
      <c r="D125" s="225"/>
      <c r="E125" s="226"/>
      <c r="F125" s="231" t="s">
        <v>2659</v>
      </c>
      <c r="G125" s="249">
        <v>500000</v>
      </c>
      <c r="H125" s="240" t="s">
        <v>282</v>
      </c>
      <c r="I125" s="256">
        <v>10</v>
      </c>
      <c r="J125" s="240"/>
      <c r="K125" s="240"/>
      <c r="L125" s="250"/>
      <c r="M125" s="240"/>
      <c r="N125" s="240"/>
      <c r="O125" s="244"/>
      <c r="P125" s="244" t="s">
        <v>274</v>
      </c>
      <c r="Q125" s="249">
        <f>G125*I125</f>
        <v>5000000</v>
      </c>
      <c r="R125" s="235"/>
      <c r="S125" s="997"/>
      <c r="T125" s="235"/>
      <c r="U125" s="246"/>
      <c r="V125" s="226"/>
      <c r="W125" s="90"/>
      <c r="X125" s="123"/>
    </row>
    <row r="126" spans="1:27" ht="15" customHeight="1">
      <c r="A126" s="224"/>
      <c r="B126" s="225"/>
      <c r="C126" s="226"/>
      <c r="D126" s="225"/>
      <c r="E126" s="226"/>
      <c r="F126" s="231" t="s">
        <v>2660</v>
      </c>
      <c r="G126" s="249">
        <v>400000</v>
      </c>
      <c r="H126" s="240" t="s">
        <v>282</v>
      </c>
      <c r="I126" s="256">
        <v>10</v>
      </c>
      <c r="J126" s="240"/>
      <c r="K126" s="240"/>
      <c r="L126" s="250"/>
      <c r="M126" s="240"/>
      <c r="N126" s="240"/>
      <c r="O126" s="244"/>
      <c r="P126" s="244" t="s">
        <v>274</v>
      </c>
      <c r="Q126" s="249">
        <f t="shared" ref="Q126:Q128" si="9">G126*I126</f>
        <v>4000000</v>
      </c>
      <c r="R126" s="235"/>
      <c r="S126" s="997"/>
      <c r="T126" s="235"/>
      <c r="U126" s="246"/>
      <c r="V126" s="226"/>
      <c r="W126" s="90"/>
      <c r="X126" s="123"/>
    </row>
    <row r="127" spans="1:27" ht="15" customHeight="1">
      <c r="A127" s="224"/>
      <c r="B127" s="225"/>
      <c r="C127" s="226"/>
      <c r="D127" s="225"/>
      <c r="E127" s="226"/>
      <c r="F127" s="231" t="s">
        <v>2661</v>
      </c>
      <c r="G127" s="249">
        <v>70000</v>
      </c>
      <c r="H127" s="240" t="s">
        <v>282</v>
      </c>
      <c r="I127" s="256">
        <v>10</v>
      </c>
      <c r="J127" s="240"/>
      <c r="K127" s="240"/>
      <c r="L127" s="250"/>
      <c r="M127" s="240"/>
      <c r="N127" s="240"/>
      <c r="O127" s="244"/>
      <c r="P127" s="244" t="s">
        <v>274</v>
      </c>
      <c r="Q127" s="249">
        <f t="shared" si="9"/>
        <v>700000</v>
      </c>
      <c r="R127" s="235"/>
      <c r="S127" s="997"/>
      <c r="T127" s="235"/>
      <c r="U127" s="246"/>
      <c r="V127" s="226"/>
      <c r="W127" s="90"/>
      <c r="X127" s="123"/>
    </row>
    <row r="128" spans="1:27" ht="15" customHeight="1">
      <c r="A128" s="224"/>
      <c r="B128" s="225"/>
      <c r="C128" s="226"/>
      <c r="D128" s="225"/>
      <c r="E128" s="226"/>
      <c r="F128" s="231" t="s">
        <v>2662</v>
      </c>
      <c r="G128" s="249">
        <v>150000</v>
      </c>
      <c r="H128" s="240" t="s">
        <v>282</v>
      </c>
      <c r="I128" s="256">
        <v>2</v>
      </c>
      <c r="J128" s="240"/>
      <c r="K128" s="240"/>
      <c r="L128" s="250"/>
      <c r="M128" s="240"/>
      <c r="N128" s="240"/>
      <c r="O128" s="244"/>
      <c r="P128" s="244" t="s">
        <v>274</v>
      </c>
      <c r="Q128" s="249">
        <f t="shared" si="9"/>
        <v>300000</v>
      </c>
      <c r="R128" s="235"/>
      <c r="S128" s="997"/>
      <c r="T128" s="235"/>
      <c r="U128" s="246"/>
      <c r="V128" s="226"/>
      <c r="W128" s="90"/>
      <c r="X128" s="123"/>
    </row>
    <row r="129" spans="1:24" ht="15" customHeight="1">
      <c r="A129" s="224"/>
      <c r="B129" s="225"/>
      <c r="C129" s="226"/>
      <c r="D129" s="225"/>
      <c r="E129" s="226"/>
      <c r="F129" s="126" t="s">
        <v>910</v>
      </c>
      <c r="G129" s="249"/>
      <c r="H129" s="240"/>
      <c r="I129" s="894"/>
      <c r="J129" s="240"/>
      <c r="K129" s="240"/>
      <c r="L129" s="250"/>
      <c r="M129" s="240"/>
      <c r="N129" s="240"/>
      <c r="O129" s="244"/>
      <c r="P129" s="244"/>
      <c r="Q129" s="251">
        <f>SUM(Q130:Q133)</f>
        <v>17000000</v>
      </c>
      <c r="R129" s="235"/>
      <c r="S129" s="997"/>
      <c r="T129" s="235"/>
      <c r="U129" s="246"/>
      <c r="V129" s="237"/>
      <c r="W129" s="122"/>
      <c r="X129" s="121"/>
    </row>
    <row r="130" spans="1:24" ht="15" customHeight="1">
      <c r="A130" s="224"/>
      <c r="B130" s="225"/>
      <c r="C130" s="226"/>
      <c r="D130" s="225"/>
      <c r="E130" s="226"/>
      <c r="F130" s="231" t="s">
        <v>2663</v>
      </c>
      <c r="G130" s="249">
        <v>265000</v>
      </c>
      <c r="H130" s="240" t="s">
        <v>282</v>
      </c>
      <c r="I130" s="256">
        <v>8</v>
      </c>
      <c r="J130" s="240"/>
      <c r="K130" s="240"/>
      <c r="L130" s="250"/>
      <c r="M130" s="240"/>
      <c r="N130" s="240"/>
      <c r="O130" s="244"/>
      <c r="P130" s="244" t="s">
        <v>274</v>
      </c>
      <c r="Q130" s="249">
        <f>G130*I130</f>
        <v>2120000</v>
      </c>
      <c r="R130" s="235"/>
      <c r="S130" s="997"/>
      <c r="T130" s="235"/>
      <c r="U130" s="246"/>
      <c r="V130" s="237"/>
      <c r="W130" s="122"/>
      <c r="X130" s="121"/>
    </row>
    <row r="131" spans="1:24" ht="15" customHeight="1">
      <c r="A131" s="224"/>
      <c r="B131" s="225"/>
      <c r="C131" s="226"/>
      <c r="D131" s="225"/>
      <c r="E131" s="226"/>
      <c r="F131" s="231" t="s">
        <v>2664</v>
      </c>
      <c r="G131" s="249">
        <v>110000</v>
      </c>
      <c r="H131" s="240" t="s">
        <v>282</v>
      </c>
      <c r="I131" s="1115">
        <v>2</v>
      </c>
      <c r="J131" s="240" t="s">
        <v>282</v>
      </c>
      <c r="K131" s="256">
        <v>4</v>
      </c>
      <c r="L131" s="240" t="s">
        <v>282</v>
      </c>
      <c r="M131" s="1674">
        <v>8</v>
      </c>
      <c r="N131" s="1674"/>
      <c r="O131" s="244"/>
      <c r="P131" s="244" t="s">
        <v>274</v>
      </c>
      <c r="Q131" s="249">
        <f>G131*I131*K131*M131</f>
        <v>7040000</v>
      </c>
      <c r="R131" s="235"/>
      <c r="S131" s="997"/>
      <c r="T131" s="235"/>
      <c r="U131" s="246"/>
      <c r="V131" s="237"/>
      <c r="W131" s="122"/>
      <c r="X131" s="121"/>
    </row>
    <row r="132" spans="1:24" ht="15" customHeight="1">
      <c r="A132" s="224"/>
      <c r="B132" s="225"/>
      <c r="C132" s="226"/>
      <c r="D132" s="225"/>
      <c r="E132" s="226"/>
      <c r="F132" s="231" t="s">
        <v>2665</v>
      </c>
      <c r="G132" s="249">
        <v>5500</v>
      </c>
      <c r="H132" s="240" t="s">
        <v>282</v>
      </c>
      <c r="I132" s="241">
        <v>20</v>
      </c>
      <c r="J132" s="240" t="s">
        <v>282</v>
      </c>
      <c r="K132" s="1115">
        <v>2</v>
      </c>
      <c r="L132" s="240" t="s">
        <v>282</v>
      </c>
      <c r="M132" s="256">
        <v>4</v>
      </c>
      <c r="N132" s="240" t="s">
        <v>282</v>
      </c>
      <c r="O132" s="1674">
        <v>8</v>
      </c>
      <c r="P132" s="244" t="s">
        <v>274</v>
      </c>
      <c r="Q132" s="249">
        <f>G132*I132*K132*M132*O132</f>
        <v>7040000</v>
      </c>
      <c r="R132" s="235"/>
      <c r="S132" s="997"/>
      <c r="T132" s="235"/>
      <c r="U132" s="246"/>
      <c r="V132" s="237"/>
      <c r="W132" s="122"/>
      <c r="X132" s="121"/>
    </row>
    <row r="133" spans="1:24" ht="15" customHeight="1">
      <c r="A133" s="224"/>
      <c r="B133" s="225"/>
      <c r="C133" s="226"/>
      <c r="D133" s="225"/>
      <c r="E133" s="226"/>
      <c r="F133" s="231" t="s">
        <v>2666</v>
      </c>
      <c r="G133" s="249">
        <v>100000</v>
      </c>
      <c r="H133" s="240" t="s">
        <v>282</v>
      </c>
      <c r="I133" s="256">
        <v>8</v>
      </c>
      <c r="J133" s="240"/>
      <c r="K133" s="240"/>
      <c r="L133" s="250"/>
      <c r="M133" s="240"/>
      <c r="N133" s="240"/>
      <c r="O133" s="244"/>
      <c r="P133" s="244" t="s">
        <v>274</v>
      </c>
      <c r="Q133" s="249">
        <f>G133*I133</f>
        <v>800000</v>
      </c>
      <c r="R133" s="235"/>
      <c r="S133" s="997"/>
      <c r="T133" s="235"/>
      <c r="U133" s="246"/>
      <c r="V133" s="237"/>
      <c r="W133" s="122"/>
      <c r="X133" s="121"/>
    </row>
    <row r="134" spans="1:24" ht="15" customHeight="1">
      <c r="A134" s="224"/>
      <c r="B134" s="225"/>
      <c r="C134" s="226"/>
      <c r="D134" s="225"/>
      <c r="E134" s="226"/>
      <c r="F134" s="126" t="s">
        <v>911</v>
      </c>
      <c r="G134" s="249"/>
      <c r="H134" s="240"/>
      <c r="I134" s="894"/>
      <c r="J134" s="240"/>
      <c r="K134" s="240"/>
      <c r="L134" s="250"/>
      <c r="M134" s="240"/>
      <c r="N134" s="240"/>
      <c r="O134" s="244"/>
      <c r="P134" s="244"/>
      <c r="Q134" s="251">
        <f>SUM(Q135:Q139)</f>
        <v>6000000</v>
      </c>
      <c r="R134" s="235"/>
      <c r="S134" s="997"/>
      <c r="T134" s="235"/>
      <c r="U134" s="246"/>
      <c r="V134" s="247"/>
      <c r="W134" s="103"/>
      <c r="X134" s="123"/>
    </row>
    <row r="135" spans="1:24" ht="15" customHeight="1">
      <c r="A135" s="224"/>
      <c r="B135" s="225"/>
      <c r="C135" s="226"/>
      <c r="D135" s="225"/>
      <c r="E135" s="226"/>
      <c r="F135" s="231" t="s">
        <v>2667</v>
      </c>
      <c r="G135" s="249">
        <v>2000000</v>
      </c>
      <c r="H135" s="240" t="s">
        <v>282</v>
      </c>
      <c r="I135" s="256">
        <v>1</v>
      </c>
      <c r="J135" s="240"/>
      <c r="K135" s="240"/>
      <c r="L135" s="250"/>
      <c r="M135" s="240"/>
      <c r="N135" s="240"/>
      <c r="O135" s="244"/>
      <c r="P135" s="244" t="s">
        <v>274</v>
      </c>
      <c r="Q135" s="249">
        <f>G135*I135</f>
        <v>2000000</v>
      </c>
      <c r="R135" s="235"/>
      <c r="S135" s="997"/>
      <c r="T135" s="235"/>
      <c r="U135" s="246"/>
      <c r="V135" s="247"/>
      <c r="W135" s="103"/>
      <c r="X135" s="123"/>
    </row>
    <row r="136" spans="1:24" ht="15" customHeight="1">
      <c r="A136" s="224"/>
      <c r="B136" s="225"/>
      <c r="C136" s="226"/>
      <c r="D136" s="225"/>
      <c r="E136" s="226"/>
      <c r="F136" s="231" t="s">
        <v>2668</v>
      </c>
      <c r="G136" s="249">
        <v>3000000</v>
      </c>
      <c r="H136" s="240" t="s">
        <v>282</v>
      </c>
      <c r="I136" s="1115">
        <v>1</v>
      </c>
      <c r="J136" s="240"/>
      <c r="K136" s="256"/>
      <c r="L136" s="240"/>
      <c r="M136" s="1674"/>
      <c r="N136" s="1674"/>
      <c r="O136" s="244"/>
      <c r="P136" s="244" t="s">
        <v>274</v>
      </c>
      <c r="Q136" s="249">
        <f t="shared" ref="Q136:Q139" si="10">G136*I136</f>
        <v>3000000</v>
      </c>
      <c r="R136" s="235"/>
      <c r="S136" s="997"/>
      <c r="T136" s="235"/>
      <c r="U136" s="246"/>
      <c r="V136" s="247"/>
      <c r="W136" s="103"/>
      <c r="X136" s="123"/>
    </row>
    <row r="137" spans="1:24" ht="15" customHeight="1">
      <c r="A137" s="224"/>
      <c r="B137" s="225"/>
      <c r="C137" s="226"/>
      <c r="D137" s="225"/>
      <c r="E137" s="226"/>
      <c r="F137" s="231" t="s">
        <v>2669</v>
      </c>
      <c r="G137" s="249">
        <v>150000</v>
      </c>
      <c r="H137" s="240" t="s">
        <v>282</v>
      </c>
      <c r="I137" s="241">
        <v>2</v>
      </c>
      <c r="J137" s="240"/>
      <c r="K137" s="1115"/>
      <c r="L137" s="240"/>
      <c r="M137" s="256"/>
      <c r="N137" s="240"/>
      <c r="O137" s="1674"/>
      <c r="P137" s="244" t="s">
        <v>274</v>
      </c>
      <c r="Q137" s="249">
        <f t="shared" si="10"/>
        <v>300000</v>
      </c>
      <c r="R137" s="235"/>
      <c r="S137" s="997"/>
      <c r="T137" s="235"/>
      <c r="U137" s="246"/>
      <c r="V137" s="247"/>
      <c r="W137" s="103"/>
      <c r="X137" s="123"/>
    </row>
    <row r="138" spans="1:24" ht="15" customHeight="1">
      <c r="A138" s="224"/>
      <c r="B138" s="225"/>
      <c r="C138" s="226"/>
      <c r="D138" s="225"/>
      <c r="E138" s="226"/>
      <c r="F138" s="231" t="s">
        <v>2670</v>
      </c>
      <c r="G138" s="249">
        <v>200000</v>
      </c>
      <c r="H138" s="240" t="s">
        <v>282</v>
      </c>
      <c r="I138" s="256">
        <v>2</v>
      </c>
      <c r="J138" s="240"/>
      <c r="K138" s="240"/>
      <c r="L138" s="250"/>
      <c r="M138" s="240"/>
      <c r="N138" s="240"/>
      <c r="O138" s="244"/>
      <c r="P138" s="244" t="s">
        <v>274</v>
      </c>
      <c r="Q138" s="249">
        <f t="shared" si="10"/>
        <v>400000</v>
      </c>
      <c r="R138" s="235"/>
      <c r="S138" s="997"/>
      <c r="T138" s="235"/>
      <c r="U138" s="246"/>
      <c r="V138" s="247"/>
      <c r="W138" s="103"/>
      <c r="X138" s="123"/>
    </row>
    <row r="139" spans="1:24" ht="15" customHeight="1">
      <c r="A139" s="224"/>
      <c r="B139" s="225"/>
      <c r="C139" s="226"/>
      <c r="D139" s="225"/>
      <c r="E139" s="226"/>
      <c r="F139" s="231" t="s">
        <v>2662</v>
      </c>
      <c r="G139" s="249">
        <v>300000</v>
      </c>
      <c r="H139" s="240" t="s">
        <v>282</v>
      </c>
      <c r="I139" s="256">
        <v>1</v>
      </c>
      <c r="J139" s="240"/>
      <c r="K139" s="240"/>
      <c r="L139" s="250"/>
      <c r="M139" s="240"/>
      <c r="N139" s="240"/>
      <c r="O139" s="244"/>
      <c r="P139" s="244" t="s">
        <v>274</v>
      </c>
      <c r="Q139" s="249">
        <f t="shared" si="10"/>
        <v>300000</v>
      </c>
      <c r="R139" s="235"/>
      <c r="S139" s="997"/>
      <c r="T139" s="235"/>
      <c r="U139" s="246"/>
      <c r="V139" s="247"/>
      <c r="W139" s="103"/>
      <c r="X139" s="123"/>
    </row>
    <row r="140" spans="1:24" ht="15" customHeight="1">
      <c r="A140" s="224"/>
      <c r="B140" s="225"/>
      <c r="C140" s="226"/>
      <c r="D140" s="225"/>
      <c r="E140" s="226"/>
      <c r="F140" s="126" t="s">
        <v>912</v>
      </c>
      <c r="G140" s="249"/>
      <c r="H140" s="240"/>
      <c r="I140" s="872"/>
      <c r="J140" s="240"/>
      <c r="K140" s="240"/>
      <c r="L140" s="250"/>
      <c r="M140" s="240"/>
      <c r="N140" s="240"/>
      <c r="O140" s="244"/>
      <c r="P140" s="244"/>
      <c r="Q140" s="251">
        <f>SUM(Q141:Q144)</f>
        <v>2000000</v>
      </c>
      <c r="R140" s="235"/>
      <c r="S140" s="997"/>
      <c r="T140" s="235"/>
      <c r="U140" s="246"/>
      <c r="V140" s="226"/>
      <c r="W140" s="103"/>
      <c r="X140" s="97"/>
    </row>
    <row r="141" spans="1:24" ht="15" customHeight="1">
      <c r="A141" s="224"/>
      <c r="B141" s="225"/>
      <c r="C141" s="226"/>
      <c r="D141" s="225"/>
      <c r="E141" s="226"/>
      <c r="F141" s="231" t="s">
        <v>2671</v>
      </c>
      <c r="G141" s="249">
        <v>50000</v>
      </c>
      <c r="H141" s="240" t="s">
        <v>282</v>
      </c>
      <c r="I141" s="241">
        <v>6</v>
      </c>
      <c r="J141" s="240" t="s">
        <v>282</v>
      </c>
      <c r="K141" s="256">
        <v>2</v>
      </c>
      <c r="L141" s="250"/>
      <c r="M141" s="240"/>
      <c r="N141" s="240"/>
      <c r="O141" s="244"/>
      <c r="P141" s="244" t="s">
        <v>274</v>
      </c>
      <c r="Q141" s="249">
        <f>G141*I141*K141</f>
        <v>600000</v>
      </c>
      <c r="R141" s="235"/>
      <c r="S141" s="997"/>
      <c r="T141" s="235"/>
      <c r="U141" s="246"/>
      <c r="V141" s="226"/>
      <c r="W141" s="103"/>
      <c r="X141" s="97"/>
    </row>
    <row r="142" spans="1:24" ht="15" customHeight="1">
      <c r="A142" s="224"/>
      <c r="B142" s="225"/>
      <c r="C142" s="226"/>
      <c r="D142" s="225"/>
      <c r="E142" s="226"/>
      <c r="F142" s="231" t="s">
        <v>2672</v>
      </c>
      <c r="G142" s="249">
        <v>225000</v>
      </c>
      <c r="H142" s="240" t="s">
        <v>282</v>
      </c>
      <c r="I142" s="256">
        <v>4</v>
      </c>
      <c r="J142" s="240"/>
      <c r="K142" s="256"/>
      <c r="L142" s="240"/>
      <c r="M142" s="1674"/>
      <c r="N142" s="1674"/>
      <c r="O142" s="244"/>
      <c r="P142" s="244" t="s">
        <v>274</v>
      </c>
      <c r="Q142" s="249">
        <f t="shared" ref="Q142:Q143" si="11">G142*I142</f>
        <v>900000</v>
      </c>
      <c r="R142" s="235"/>
      <c r="S142" s="997"/>
      <c r="T142" s="235"/>
      <c r="U142" s="246"/>
      <c r="V142" s="226"/>
      <c r="W142" s="103"/>
      <c r="X142" s="97"/>
    </row>
    <row r="143" spans="1:24" ht="15" customHeight="1">
      <c r="A143" s="224"/>
      <c r="B143" s="225"/>
      <c r="C143" s="226"/>
      <c r="D143" s="225"/>
      <c r="E143" s="226"/>
      <c r="F143" s="231" t="s">
        <v>2673</v>
      </c>
      <c r="G143" s="249">
        <v>150000</v>
      </c>
      <c r="H143" s="240" t="s">
        <v>282</v>
      </c>
      <c r="I143" s="256">
        <v>2</v>
      </c>
      <c r="J143" s="240"/>
      <c r="K143" s="1115"/>
      <c r="L143" s="240"/>
      <c r="M143" s="256"/>
      <c r="N143" s="240"/>
      <c r="O143" s="1674"/>
      <c r="P143" s="244" t="s">
        <v>274</v>
      </c>
      <c r="Q143" s="249">
        <f t="shared" si="11"/>
        <v>300000</v>
      </c>
      <c r="R143" s="235"/>
      <c r="S143" s="997"/>
      <c r="T143" s="235"/>
      <c r="U143" s="246"/>
      <c r="V143" s="226"/>
      <c r="W143" s="103"/>
      <c r="X143" s="97"/>
    </row>
    <row r="144" spans="1:24" ht="15" customHeight="1">
      <c r="A144" s="224"/>
      <c r="B144" s="225"/>
      <c r="C144" s="226"/>
      <c r="D144" s="225"/>
      <c r="E144" s="226"/>
      <c r="F144" s="231" t="s">
        <v>2674</v>
      </c>
      <c r="G144" s="249">
        <v>50000</v>
      </c>
      <c r="H144" s="240" t="s">
        <v>282</v>
      </c>
      <c r="I144" s="1659">
        <v>2</v>
      </c>
      <c r="J144" s="240" t="s">
        <v>282</v>
      </c>
      <c r="K144" s="256">
        <v>2</v>
      </c>
      <c r="L144" s="250"/>
      <c r="M144" s="240"/>
      <c r="N144" s="240"/>
      <c r="O144" s="244"/>
      <c r="P144" s="244" t="s">
        <v>274</v>
      </c>
      <c r="Q144" s="249">
        <f>G144*I144*K144</f>
        <v>200000</v>
      </c>
      <c r="R144" s="235"/>
      <c r="S144" s="997"/>
      <c r="T144" s="235"/>
      <c r="U144" s="246"/>
      <c r="V144" s="226"/>
      <c r="W144" s="103"/>
      <c r="X144" s="97"/>
    </row>
    <row r="145" spans="1:24" ht="15" customHeight="1">
      <c r="A145" s="224"/>
      <c r="B145" s="225"/>
      <c r="C145" s="226"/>
      <c r="D145" s="225"/>
      <c r="E145" s="66" t="s">
        <v>913</v>
      </c>
      <c r="F145" s="269"/>
      <c r="G145" s="270"/>
      <c r="H145" s="268"/>
      <c r="I145" s="268"/>
      <c r="J145" s="268"/>
      <c r="K145" s="268"/>
      <c r="L145" s="1556"/>
      <c r="M145" s="268"/>
      <c r="N145" s="268"/>
      <c r="O145" s="271"/>
      <c r="P145" s="271"/>
      <c r="Q145" s="268"/>
      <c r="R145" s="171">
        <f>Q147+Q148+Q152+Q159+Q165+Q171</f>
        <v>16600000</v>
      </c>
      <c r="S145" s="171">
        <v>5800000</v>
      </c>
      <c r="T145" s="171">
        <f>R145-S145</f>
        <v>10800000</v>
      </c>
      <c r="U145" s="172">
        <f t="shared" ref="U145" si="12">T145/S145</f>
        <v>1.8620689655172413</v>
      </c>
    </row>
    <row r="146" spans="1:24" ht="15" customHeight="1">
      <c r="A146" s="224"/>
      <c r="B146" s="225"/>
      <c r="C146" s="226"/>
      <c r="D146" s="225"/>
      <c r="E146" s="226"/>
      <c r="F146" s="96" t="s">
        <v>914</v>
      </c>
      <c r="G146" s="249"/>
      <c r="H146" s="240"/>
      <c r="I146" s="240"/>
      <c r="J146" s="240"/>
      <c r="K146" s="240"/>
      <c r="L146" s="250"/>
      <c r="M146" s="240"/>
      <c r="N146" s="240"/>
      <c r="O146" s="244"/>
      <c r="P146" s="244"/>
      <c r="Q146" s="251"/>
      <c r="R146" s="235"/>
      <c r="S146" s="997"/>
      <c r="T146" s="235"/>
      <c r="U146" s="246"/>
      <c r="V146" s="237"/>
      <c r="W146" s="103"/>
      <c r="X146" s="97"/>
    </row>
    <row r="147" spans="1:24" ht="15" customHeight="1">
      <c r="A147" s="224"/>
      <c r="B147" s="225"/>
      <c r="C147" s="226"/>
      <c r="D147" s="225"/>
      <c r="E147" s="226"/>
      <c r="F147" s="126" t="s">
        <v>529</v>
      </c>
      <c r="G147" s="249">
        <v>600000</v>
      </c>
      <c r="H147" s="240" t="s">
        <v>282</v>
      </c>
      <c r="I147" s="872">
        <v>5</v>
      </c>
      <c r="J147" s="240"/>
      <c r="K147" s="240"/>
      <c r="L147" s="250"/>
      <c r="M147" s="240"/>
      <c r="N147" s="240"/>
      <c r="O147" s="244"/>
      <c r="P147" s="244" t="s">
        <v>274</v>
      </c>
      <c r="Q147" s="251">
        <f>G147*I147</f>
        <v>3000000</v>
      </c>
      <c r="R147" s="235"/>
      <c r="S147" s="997"/>
      <c r="T147" s="235"/>
      <c r="U147" s="246"/>
      <c r="V147" s="247"/>
      <c r="W147" s="90"/>
      <c r="X147" s="123"/>
    </row>
    <row r="148" spans="1:24" ht="15" customHeight="1">
      <c r="A148" s="224"/>
      <c r="B148" s="225"/>
      <c r="C148" s="226"/>
      <c r="D148" s="225"/>
      <c r="E148" s="226"/>
      <c r="F148" s="126" t="s">
        <v>915</v>
      </c>
      <c r="G148" s="249"/>
      <c r="H148" s="240"/>
      <c r="I148" s="872"/>
      <c r="J148" s="240"/>
      <c r="K148" s="240"/>
      <c r="L148" s="250"/>
      <c r="M148" s="240"/>
      <c r="N148" s="240"/>
      <c r="O148" s="244"/>
      <c r="P148" s="244"/>
      <c r="Q148" s="251">
        <f>SUM(Q149:Q151)</f>
        <v>600000</v>
      </c>
      <c r="R148" s="235"/>
      <c r="S148" s="997"/>
      <c r="T148" s="235"/>
      <c r="U148" s="246"/>
      <c r="V148" s="226"/>
      <c r="W148" s="122"/>
      <c r="X148" s="121"/>
    </row>
    <row r="149" spans="1:24" ht="15" customHeight="1">
      <c r="A149" s="224"/>
      <c r="B149" s="225"/>
      <c r="C149" s="226"/>
      <c r="D149" s="225"/>
      <c r="E149" s="226"/>
      <c r="F149" s="231" t="s">
        <v>2675</v>
      </c>
      <c r="G149" s="249">
        <v>50000</v>
      </c>
      <c r="H149" s="240" t="s">
        <v>282</v>
      </c>
      <c r="I149" s="256">
        <v>2</v>
      </c>
      <c r="J149" s="240"/>
      <c r="K149" s="256"/>
      <c r="L149" s="250"/>
      <c r="M149" s="240"/>
      <c r="N149" s="240"/>
      <c r="O149" s="244"/>
      <c r="P149" s="244" t="s">
        <v>274</v>
      </c>
      <c r="Q149" s="249">
        <f>G149*I149</f>
        <v>100000</v>
      </c>
      <c r="R149" s="235"/>
      <c r="S149" s="997"/>
      <c r="T149" s="235"/>
      <c r="U149" s="246"/>
      <c r="V149" s="226"/>
      <c r="W149" s="122"/>
      <c r="X149" s="121"/>
    </row>
    <row r="150" spans="1:24" ht="15" customHeight="1">
      <c r="A150" s="224"/>
      <c r="B150" s="225"/>
      <c r="C150" s="226"/>
      <c r="D150" s="225"/>
      <c r="E150" s="226"/>
      <c r="F150" s="231" t="s">
        <v>2676</v>
      </c>
      <c r="G150" s="249">
        <v>50000</v>
      </c>
      <c r="H150" s="240" t="s">
        <v>282</v>
      </c>
      <c r="I150" s="256">
        <v>2</v>
      </c>
      <c r="J150" s="240"/>
      <c r="K150" s="256"/>
      <c r="L150" s="240"/>
      <c r="M150" s="1674"/>
      <c r="N150" s="1674"/>
      <c r="O150" s="244"/>
      <c r="P150" s="244" t="s">
        <v>274</v>
      </c>
      <c r="Q150" s="249">
        <f>G150*I150</f>
        <v>100000</v>
      </c>
      <c r="R150" s="235"/>
      <c r="S150" s="997"/>
      <c r="T150" s="235"/>
      <c r="U150" s="246"/>
      <c r="V150" s="226"/>
      <c r="W150" s="122"/>
      <c r="X150" s="121"/>
    </row>
    <row r="151" spans="1:24" ht="15" customHeight="1">
      <c r="A151" s="224"/>
      <c r="B151" s="225"/>
      <c r="C151" s="226"/>
      <c r="D151" s="225"/>
      <c r="E151" s="226"/>
      <c r="F151" s="231" t="s">
        <v>2677</v>
      </c>
      <c r="G151" s="249">
        <v>5000</v>
      </c>
      <c r="H151" s="240" t="s">
        <v>282</v>
      </c>
      <c r="I151" s="241">
        <v>40</v>
      </c>
      <c r="J151" s="240" t="s">
        <v>282</v>
      </c>
      <c r="K151" s="256">
        <v>2</v>
      </c>
      <c r="L151" s="240"/>
      <c r="M151" s="256"/>
      <c r="N151" s="240"/>
      <c r="O151" s="1674"/>
      <c r="P151" s="244" t="s">
        <v>274</v>
      </c>
      <c r="Q151" s="249">
        <f>G151*I151*K151</f>
        <v>400000</v>
      </c>
      <c r="R151" s="235"/>
      <c r="S151" s="997"/>
      <c r="T151" s="235"/>
      <c r="U151" s="246"/>
      <c r="V151" s="226"/>
      <c r="W151" s="122"/>
      <c r="X151" s="121"/>
    </row>
    <row r="152" spans="1:24" ht="15" customHeight="1">
      <c r="A152" s="224"/>
      <c r="B152" s="225"/>
      <c r="C152" s="226"/>
      <c r="D152" s="225"/>
      <c r="E152" s="226"/>
      <c r="F152" s="126" t="s">
        <v>530</v>
      </c>
      <c r="G152" s="249"/>
      <c r="H152" s="240"/>
      <c r="I152" s="894"/>
      <c r="J152" s="240"/>
      <c r="K152" s="240"/>
      <c r="L152" s="250"/>
      <c r="M152" s="240"/>
      <c r="N152" s="240"/>
      <c r="O152" s="244"/>
      <c r="P152" s="244"/>
      <c r="Q152" s="251">
        <f>SUM(Q153:Q158)</f>
        <v>4000000</v>
      </c>
      <c r="R152" s="235"/>
      <c r="S152" s="997"/>
      <c r="T152" s="235"/>
      <c r="U152" s="246"/>
      <c r="V152" s="1557"/>
      <c r="W152" s="90"/>
      <c r="X152" s="123"/>
    </row>
    <row r="153" spans="1:24" ht="15" customHeight="1">
      <c r="A153" s="224"/>
      <c r="B153" s="225"/>
      <c r="C153" s="226"/>
      <c r="D153" s="225"/>
      <c r="E153" s="226"/>
      <c r="F153" s="231" t="s">
        <v>2678</v>
      </c>
      <c r="G153" s="249">
        <v>66000</v>
      </c>
      <c r="H153" s="240" t="s">
        <v>282</v>
      </c>
      <c r="I153" s="241">
        <v>40</v>
      </c>
      <c r="J153" s="240"/>
      <c r="K153" s="240"/>
      <c r="L153" s="250"/>
      <c r="M153" s="240"/>
      <c r="N153" s="240"/>
      <c r="O153" s="244"/>
      <c r="P153" s="244" t="s">
        <v>274</v>
      </c>
      <c r="Q153" s="249">
        <f>G153*I153</f>
        <v>2640000</v>
      </c>
      <c r="R153" s="235"/>
      <c r="S153" s="997"/>
      <c r="T153" s="235"/>
      <c r="U153" s="246"/>
      <c r="V153" s="1557"/>
      <c r="W153" s="90"/>
      <c r="X153" s="123"/>
    </row>
    <row r="154" spans="1:24" ht="15" customHeight="1">
      <c r="A154" s="224"/>
      <c r="B154" s="225"/>
      <c r="C154" s="226"/>
      <c r="D154" s="225"/>
      <c r="E154" s="226"/>
      <c r="F154" s="231" t="s">
        <v>2679</v>
      </c>
      <c r="G154" s="249">
        <v>720000</v>
      </c>
      <c r="H154" s="240" t="s">
        <v>282</v>
      </c>
      <c r="I154" s="256">
        <v>1</v>
      </c>
      <c r="J154" s="240"/>
      <c r="K154" s="256"/>
      <c r="L154" s="240"/>
      <c r="M154" s="1674"/>
      <c r="N154" s="1674"/>
      <c r="O154" s="244"/>
      <c r="P154" s="244" t="s">
        <v>274</v>
      </c>
      <c r="Q154" s="249">
        <f t="shared" ref="Q154:Q158" si="13">G154*I154</f>
        <v>720000</v>
      </c>
      <c r="R154" s="235"/>
      <c r="S154" s="997"/>
      <c r="T154" s="235"/>
      <c r="U154" s="246"/>
      <c r="V154" s="1557"/>
      <c r="W154" s="90"/>
      <c r="X154" s="123"/>
    </row>
    <row r="155" spans="1:24" ht="15" customHeight="1">
      <c r="A155" s="224"/>
      <c r="B155" s="225"/>
      <c r="C155" s="226"/>
      <c r="D155" s="225"/>
      <c r="E155" s="226"/>
      <c r="F155" s="231" t="s">
        <v>2680</v>
      </c>
      <c r="G155" s="249">
        <v>250000</v>
      </c>
      <c r="H155" s="240" t="s">
        <v>282</v>
      </c>
      <c r="I155" s="256">
        <v>1</v>
      </c>
      <c r="J155" s="240"/>
      <c r="K155" s="1115"/>
      <c r="L155" s="240"/>
      <c r="M155" s="256"/>
      <c r="N155" s="240"/>
      <c r="O155" s="1674"/>
      <c r="P155" s="244" t="s">
        <v>274</v>
      </c>
      <c r="Q155" s="249">
        <f t="shared" si="13"/>
        <v>250000</v>
      </c>
      <c r="R155" s="235"/>
      <c r="S155" s="997"/>
      <c r="T155" s="235"/>
      <c r="U155" s="246"/>
      <c r="V155" s="1557"/>
      <c r="W155" s="90"/>
      <c r="X155" s="123"/>
    </row>
    <row r="156" spans="1:24" ht="15" customHeight="1">
      <c r="A156" s="224"/>
      <c r="B156" s="225"/>
      <c r="C156" s="226"/>
      <c r="D156" s="225"/>
      <c r="E156" s="226"/>
      <c r="F156" s="231" t="s">
        <v>2681</v>
      </c>
      <c r="G156" s="249">
        <v>120000</v>
      </c>
      <c r="H156" s="240" t="s">
        <v>282</v>
      </c>
      <c r="I156" s="256">
        <v>2</v>
      </c>
      <c r="J156" s="240"/>
      <c r="K156" s="240"/>
      <c r="L156" s="250"/>
      <c r="M156" s="240"/>
      <c r="N156" s="240"/>
      <c r="O156" s="244"/>
      <c r="P156" s="244" t="s">
        <v>274</v>
      </c>
      <c r="Q156" s="249">
        <f t="shared" si="13"/>
        <v>240000</v>
      </c>
      <c r="R156" s="235"/>
      <c r="S156" s="997"/>
      <c r="T156" s="235"/>
      <c r="U156" s="246"/>
      <c r="V156" s="1557"/>
      <c r="W156" s="90"/>
      <c r="X156" s="123"/>
    </row>
    <row r="157" spans="1:24" ht="15" customHeight="1">
      <c r="A157" s="224"/>
      <c r="B157" s="225"/>
      <c r="C157" s="226"/>
      <c r="D157" s="225"/>
      <c r="E157" s="226"/>
      <c r="F157" s="231" t="s">
        <v>2682</v>
      </c>
      <c r="G157" s="249">
        <v>50000</v>
      </c>
      <c r="H157" s="240" t="s">
        <v>282</v>
      </c>
      <c r="I157" s="256">
        <v>1</v>
      </c>
      <c r="J157" s="240"/>
      <c r="K157" s="240"/>
      <c r="L157" s="250"/>
      <c r="M157" s="240"/>
      <c r="N157" s="240"/>
      <c r="O157" s="244"/>
      <c r="P157" s="244" t="s">
        <v>274</v>
      </c>
      <c r="Q157" s="249">
        <f t="shared" ref="Q157" si="14">G157*I157</f>
        <v>50000</v>
      </c>
      <c r="R157" s="235"/>
      <c r="S157" s="997"/>
      <c r="T157" s="235"/>
      <c r="U157" s="246"/>
      <c r="V157" s="1557"/>
      <c r="W157" s="90"/>
      <c r="X157" s="123"/>
    </row>
    <row r="158" spans="1:24" ht="15" customHeight="1">
      <c r="A158" s="224"/>
      <c r="B158" s="225"/>
      <c r="C158" s="226"/>
      <c r="D158" s="225"/>
      <c r="E158" s="226"/>
      <c r="F158" s="231" t="s">
        <v>2683</v>
      </c>
      <c r="G158" s="249">
        <v>100000</v>
      </c>
      <c r="H158" s="240" t="s">
        <v>282</v>
      </c>
      <c r="I158" s="256">
        <v>1</v>
      </c>
      <c r="J158" s="240"/>
      <c r="K158" s="240"/>
      <c r="L158" s="250"/>
      <c r="M158" s="240"/>
      <c r="N158" s="240"/>
      <c r="O158" s="244"/>
      <c r="P158" s="244" t="s">
        <v>274</v>
      </c>
      <c r="Q158" s="249">
        <f t="shared" si="13"/>
        <v>100000</v>
      </c>
      <c r="R158" s="235"/>
      <c r="S158" s="997"/>
      <c r="T158" s="235"/>
      <c r="U158" s="246"/>
      <c r="V158" s="1557"/>
      <c r="W158" s="90"/>
      <c r="X158" s="123"/>
    </row>
    <row r="159" spans="1:24" ht="15" customHeight="1">
      <c r="A159" s="224"/>
      <c r="B159" s="225"/>
      <c r="C159" s="226"/>
      <c r="D159" s="225"/>
      <c r="E159" s="226"/>
      <c r="F159" s="126" t="s">
        <v>531</v>
      </c>
      <c r="G159" s="249"/>
      <c r="H159" s="240"/>
      <c r="I159" s="872"/>
      <c r="J159" s="240"/>
      <c r="K159" s="240"/>
      <c r="L159" s="250"/>
      <c r="M159" s="240"/>
      <c r="N159" s="240"/>
      <c r="O159" s="244"/>
      <c r="P159" s="244"/>
      <c r="Q159" s="251">
        <f>SUM(Q160:Q164)</f>
        <v>1000000</v>
      </c>
      <c r="R159" s="235"/>
      <c r="S159" s="997"/>
      <c r="T159" s="235"/>
      <c r="U159" s="246"/>
      <c r="V159" s="247"/>
      <c r="W159" s="122"/>
      <c r="X159" s="121"/>
    </row>
    <row r="160" spans="1:24" ht="15" customHeight="1">
      <c r="A160" s="224"/>
      <c r="B160" s="225"/>
      <c r="C160" s="226"/>
      <c r="D160" s="225"/>
      <c r="E160" s="226"/>
      <c r="F160" s="231" t="s">
        <v>2684</v>
      </c>
      <c r="G160" s="249">
        <v>50000</v>
      </c>
      <c r="H160" s="240" t="s">
        <v>282</v>
      </c>
      <c r="I160" s="256">
        <v>2</v>
      </c>
      <c r="J160" s="240"/>
      <c r="K160" s="240"/>
      <c r="L160" s="250"/>
      <c r="M160" s="240"/>
      <c r="N160" s="240"/>
      <c r="O160" s="244"/>
      <c r="P160" s="244" t="s">
        <v>274</v>
      </c>
      <c r="Q160" s="249">
        <f>G160*I160</f>
        <v>100000</v>
      </c>
      <c r="R160" s="235"/>
      <c r="S160" s="997"/>
      <c r="T160" s="235"/>
      <c r="U160" s="246"/>
      <c r="V160" s="247"/>
      <c r="W160" s="122"/>
      <c r="X160" s="121"/>
    </row>
    <row r="161" spans="1:24" ht="15" customHeight="1">
      <c r="A161" s="224"/>
      <c r="B161" s="225"/>
      <c r="C161" s="226"/>
      <c r="D161" s="225"/>
      <c r="E161" s="226"/>
      <c r="F161" s="231" t="s">
        <v>2685</v>
      </c>
      <c r="G161" s="249">
        <v>130000</v>
      </c>
      <c r="H161" s="240" t="s">
        <v>282</v>
      </c>
      <c r="I161" s="256">
        <v>1</v>
      </c>
      <c r="J161" s="240"/>
      <c r="K161" s="256"/>
      <c r="L161" s="240"/>
      <c r="M161" s="1674"/>
      <c r="N161" s="1674"/>
      <c r="O161" s="244"/>
      <c r="P161" s="244" t="s">
        <v>274</v>
      </c>
      <c r="Q161" s="249">
        <f t="shared" ref="Q161:Q163" si="15">G161*I161</f>
        <v>130000</v>
      </c>
      <c r="R161" s="235"/>
      <c r="S161" s="997"/>
      <c r="T161" s="235"/>
      <c r="U161" s="246"/>
      <c r="V161" s="247"/>
      <c r="W161" s="122"/>
      <c r="X161" s="121"/>
    </row>
    <row r="162" spans="1:24" ht="15" customHeight="1">
      <c r="A162" s="224"/>
      <c r="B162" s="225"/>
      <c r="C162" s="226"/>
      <c r="D162" s="225"/>
      <c r="E162" s="226"/>
      <c r="F162" s="231" t="s">
        <v>2686</v>
      </c>
      <c r="G162" s="249">
        <v>8000</v>
      </c>
      <c r="H162" s="240" t="s">
        <v>282</v>
      </c>
      <c r="I162" s="241">
        <v>40</v>
      </c>
      <c r="J162" s="240" t="s">
        <v>282</v>
      </c>
      <c r="K162" s="256">
        <v>1</v>
      </c>
      <c r="L162" s="240"/>
      <c r="M162" s="256"/>
      <c r="N162" s="240"/>
      <c r="O162" s="1674"/>
      <c r="P162" s="244" t="s">
        <v>274</v>
      </c>
      <c r="Q162" s="249">
        <f>G162*I162*K162</f>
        <v>320000</v>
      </c>
      <c r="R162" s="235"/>
      <c r="S162" s="997"/>
      <c r="T162" s="235"/>
      <c r="U162" s="246"/>
      <c r="V162" s="247"/>
      <c r="W162" s="122"/>
      <c r="X162" s="121"/>
    </row>
    <row r="163" spans="1:24" ht="15" customHeight="1">
      <c r="A163" s="224"/>
      <c r="B163" s="225"/>
      <c r="C163" s="226"/>
      <c r="D163" s="225"/>
      <c r="E163" s="226"/>
      <c r="F163" s="231" t="s">
        <v>2687</v>
      </c>
      <c r="G163" s="249">
        <v>50000</v>
      </c>
      <c r="H163" s="240" t="s">
        <v>282</v>
      </c>
      <c r="I163" s="256">
        <v>1</v>
      </c>
      <c r="J163" s="240"/>
      <c r="K163" s="240"/>
      <c r="L163" s="250"/>
      <c r="M163" s="240"/>
      <c r="N163" s="240"/>
      <c r="O163" s="244"/>
      <c r="P163" s="244" t="s">
        <v>274</v>
      </c>
      <c r="Q163" s="249">
        <f t="shared" si="15"/>
        <v>50000</v>
      </c>
      <c r="R163" s="235"/>
      <c r="S163" s="997"/>
      <c r="T163" s="235"/>
      <c r="U163" s="246"/>
      <c r="V163" s="247"/>
      <c r="W163" s="122"/>
      <c r="X163" s="121"/>
    </row>
    <row r="164" spans="1:24" ht="15" customHeight="1">
      <c r="A164" s="224"/>
      <c r="B164" s="225"/>
      <c r="C164" s="226"/>
      <c r="D164" s="225"/>
      <c r="E164" s="226"/>
      <c r="F164" s="231" t="s">
        <v>2688</v>
      </c>
      <c r="G164" s="249">
        <v>5000</v>
      </c>
      <c r="H164" s="240" t="s">
        <v>282</v>
      </c>
      <c r="I164" s="241">
        <v>40</v>
      </c>
      <c r="J164" s="240" t="s">
        <v>282</v>
      </c>
      <c r="K164" s="256">
        <v>2</v>
      </c>
      <c r="L164" s="250"/>
      <c r="M164" s="240"/>
      <c r="N164" s="240"/>
      <c r="O164" s="244"/>
      <c r="P164" s="244" t="s">
        <v>274</v>
      </c>
      <c r="Q164" s="249">
        <f>G164*I164*K164</f>
        <v>400000</v>
      </c>
      <c r="R164" s="235"/>
      <c r="S164" s="997"/>
      <c r="T164" s="235"/>
      <c r="U164" s="246"/>
      <c r="V164" s="247"/>
      <c r="W164" s="122"/>
      <c r="X164" s="121"/>
    </row>
    <row r="165" spans="1:24" ht="15" customHeight="1">
      <c r="A165" s="224"/>
      <c r="B165" s="225"/>
      <c r="C165" s="226"/>
      <c r="D165" s="225"/>
      <c r="E165" s="226"/>
      <c r="F165" s="126" t="s">
        <v>916</v>
      </c>
      <c r="G165" s="249"/>
      <c r="H165" s="240"/>
      <c r="I165" s="894"/>
      <c r="J165" s="240"/>
      <c r="K165" s="240"/>
      <c r="L165" s="250"/>
      <c r="M165" s="240"/>
      <c r="N165" s="240"/>
      <c r="O165" s="244"/>
      <c r="P165" s="244"/>
      <c r="Q165" s="251">
        <f>SUM(Q166:Q170)</f>
        <v>5000000</v>
      </c>
      <c r="R165" s="235"/>
      <c r="S165" s="997"/>
      <c r="T165" s="235"/>
      <c r="U165" s="246"/>
      <c r="V165" s="247"/>
      <c r="W165" s="122"/>
      <c r="X165" s="121"/>
    </row>
    <row r="166" spans="1:24" ht="15" customHeight="1">
      <c r="A166" s="224"/>
      <c r="B166" s="225"/>
      <c r="C166" s="226"/>
      <c r="D166" s="225"/>
      <c r="E166" s="226"/>
      <c r="F166" s="231" t="s">
        <v>2689</v>
      </c>
      <c r="G166" s="249">
        <v>180000</v>
      </c>
      <c r="H166" s="240" t="s">
        <v>282</v>
      </c>
      <c r="I166" s="256">
        <v>4</v>
      </c>
      <c r="J166" s="240"/>
      <c r="K166" s="240"/>
      <c r="L166" s="250"/>
      <c r="M166" s="240"/>
      <c r="N166" s="240"/>
      <c r="O166" s="244"/>
      <c r="P166" s="244" t="s">
        <v>274</v>
      </c>
      <c r="Q166" s="249">
        <f>G166*I166</f>
        <v>720000</v>
      </c>
      <c r="R166" s="235"/>
      <c r="S166" s="997"/>
      <c r="T166" s="235"/>
      <c r="U166" s="246"/>
      <c r="V166" s="247"/>
      <c r="W166" s="122"/>
      <c r="X166" s="121"/>
    </row>
    <row r="167" spans="1:24" ht="15" customHeight="1">
      <c r="A167" s="224"/>
      <c r="B167" s="225"/>
      <c r="C167" s="226"/>
      <c r="D167" s="225"/>
      <c r="E167" s="226"/>
      <c r="F167" s="231" t="s">
        <v>2690</v>
      </c>
      <c r="G167" s="249">
        <v>2000</v>
      </c>
      <c r="H167" s="240" t="s">
        <v>282</v>
      </c>
      <c r="I167" s="241">
        <v>40</v>
      </c>
      <c r="J167" s="240" t="s">
        <v>282</v>
      </c>
      <c r="K167" s="242">
        <v>12</v>
      </c>
      <c r="L167" s="240"/>
      <c r="M167" s="1674"/>
      <c r="N167" s="1674"/>
      <c r="O167" s="244"/>
      <c r="P167" s="244" t="s">
        <v>274</v>
      </c>
      <c r="Q167" s="249">
        <f>G167*I167*K167</f>
        <v>960000</v>
      </c>
      <c r="R167" s="235"/>
      <c r="S167" s="997"/>
      <c r="T167" s="235"/>
      <c r="U167" s="246"/>
      <c r="V167" s="247"/>
      <c r="W167" s="122"/>
      <c r="X167" s="121"/>
    </row>
    <row r="168" spans="1:24" ht="15" customHeight="1">
      <c r="A168" s="224"/>
      <c r="B168" s="225"/>
      <c r="C168" s="226"/>
      <c r="D168" s="225"/>
      <c r="E168" s="226"/>
      <c r="F168" s="231" t="s">
        <v>2687</v>
      </c>
      <c r="G168" s="249">
        <v>30000</v>
      </c>
      <c r="H168" s="240" t="s">
        <v>282</v>
      </c>
      <c r="I168" s="1820">
        <v>4</v>
      </c>
      <c r="J168" s="240"/>
      <c r="K168" s="256"/>
      <c r="L168" s="240"/>
      <c r="M168" s="256"/>
      <c r="N168" s="240"/>
      <c r="O168" s="1674"/>
      <c r="P168" s="244" t="s">
        <v>274</v>
      </c>
      <c r="Q168" s="249">
        <f>G168*I168</f>
        <v>120000</v>
      </c>
      <c r="R168" s="235"/>
      <c r="S168" s="997"/>
      <c r="T168" s="235"/>
      <c r="U168" s="246"/>
      <c r="V168" s="247"/>
      <c r="W168" s="122"/>
      <c r="X168" s="121"/>
    </row>
    <row r="169" spans="1:24" ht="15" customHeight="1">
      <c r="A169" s="224"/>
      <c r="B169" s="225"/>
      <c r="C169" s="226"/>
      <c r="D169" s="225"/>
      <c r="E169" s="226"/>
      <c r="F169" s="231" t="s">
        <v>2691</v>
      </c>
      <c r="G169" s="249">
        <v>3000000</v>
      </c>
      <c r="H169" s="240" t="s">
        <v>282</v>
      </c>
      <c r="I169" s="256">
        <v>1</v>
      </c>
      <c r="J169" s="240"/>
      <c r="K169" s="240"/>
      <c r="L169" s="250"/>
      <c r="M169" s="240"/>
      <c r="N169" s="240"/>
      <c r="O169" s="244"/>
      <c r="P169" s="244" t="s">
        <v>274</v>
      </c>
      <c r="Q169" s="249">
        <f t="shared" ref="Q169:Q170" si="16">G169*I169</f>
        <v>3000000</v>
      </c>
      <c r="R169" s="235"/>
      <c r="S169" s="997"/>
      <c r="T169" s="235"/>
      <c r="U169" s="246"/>
      <c r="V169" s="247"/>
      <c r="W169" s="122"/>
      <c r="X169" s="121"/>
    </row>
    <row r="170" spans="1:24" ht="15" customHeight="1">
      <c r="A170" s="224"/>
      <c r="B170" s="225"/>
      <c r="C170" s="226"/>
      <c r="D170" s="225"/>
      <c r="E170" s="226"/>
      <c r="F170" s="231" t="s">
        <v>2692</v>
      </c>
      <c r="G170" s="249">
        <v>200000</v>
      </c>
      <c r="H170" s="240" t="s">
        <v>282</v>
      </c>
      <c r="I170" s="256">
        <v>1</v>
      </c>
      <c r="J170" s="240"/>
      <c r="K170" s="256"/>
      <c r="L170" s="250"/>
      <c r="M170" s="240"/>
      <c r="N170" s="240"/>
      <c r="O170" s="244"/>
      <c r="P170" s="244" t="s">
        <v>274</v>
      </c>
      <c r="Q170" s="249">
        <f t="shared" si="16"/>
        <v>200000</v>
      </c>
      <c r="R170" s="235"/>
      <c r="S170" s="997"/>
      <c r="T170" s="235"/>
      <c r="U170" s="246"/>
      <c r="V170" s="247"/>
      <c r="W170" s="122"/>
      <c r="X170" s="121"/>
    </row>
    <row r="171" spans="1:24" ht="15" customHeight="1">
      <c r="A171" s="224"/>
      <c r="B171" s="225"/>
      <c r="C171" s="226"/>
      <c r="D171" s="225"/>
      <c r="E171" s="226"/>
      <c r="F171" s="126" t="s">
        <v>532</v>
      </c>
      <c r="G171" s="249"/>
      <c r="H171" s="240"/>
      <c r="I171" s="894"/>
      <c r="J171" s="240"/>
      <c r="K171" s="240"/>
      <c r="L171" s="250"/>
      <c r="M171" s="240"/>
      <c r="N171" s="240"/>
      <c r="O171" s="244"/>
      <c r="P171" s="244"/>
      <c r="Q171" s="251">
        <f>SUM(Q172:Q176)</f>
        <v>3000000</v>
      </c>
      <c r="R171" s="235"/>
      <c r="S171" s="997"/>
      <c r="T171" s="235"/>
      <c r="U171" s="246"/>
      <c r="V171" s="247"/>
      <c r="W171" s="122"/>
      <c r="X171" s="121"/>
    </row>
    <row r="172" spans="1:24" ht="15" customHeight="1">
      <c r="A172" s="224"/>
      <c r="B172" s="225"/>
      <c r="C172" s="226"/>
      <c r="D172" s="225"/>
      <c r="E172" s="226"/>
      <c r="F172" s="231" t="s">
        <v>2693</v>
      </c>
      <c r="G172" s="249">
        <v>1500000</v>
      </c>
      <c r="H172" s="240" t="s">
        <v>282</v>
      </c>
      <c r="I172" s="256">
        <v>1</v>
      </c>
      <c r="J172" s="240"/>
      <c r="K172" s="240"/>
      <c r="L172" s="250"/>
      <c r="M172" s="240"/>
      <c r="N172" s="240"/>
      <c r="O172" s="244"/>
      <c r="P172" s="244" t="s">
        <v>274</v>
      </c>
      <c r="Q172" s="249">
        <f>G172*I172</f>
        <v>1500000</v>
      </c>
      <c r="R172" s="235"/>
      <c r="S172" s="997"/>
      <c r="T172" s="235"/>
      <c r="U172" s="246"/>
      <c r="V172" s="247"/>
      <c r="W172" s="122"/>
      <c r="X172" s="121"/>
    </row>
    <row r="173" spans="1:24" ht="15" customHeight="1">
      <c r="A173" s="224"/>
      <c r="B173" s="225"/>
      <c r="C173" s="226"/>
      <c r="D173" s="225"/>
      <c r="E173" s="226"/>
      <c r="F173" s="231" t="s">
        <v>2663</v>
      </c>
      <c r="G173" s="249">
        <v>150000</v>
      </c>
      <c r="H173" s="240" t="s">
        <v>282</v>
      </c>
      <c r="I173" s="256">
        <v>2</v>
      </c>
      <c r="J173" s="240"/>
      <c r="K173" s="242"/>
      <c r="L173" s="240"/>
      <c r="M173" s="1674"/>
      <c r="N173" s="1674"/>
      <c r="O173" s="244"/>
      <c r="P173" s="244" t="s">
        <v>274</v>
      </c>
      <c r="Q173" s="249">
        <f t="shared" ref="Q173:Q174" si="17">G173*I173</f>
        <v>300000</v>
      </c>
      <c r="R173" s="235"/>
      <c r="S173" s="997"/>
      <c r="T173" s="235"/>
      <c r="U173" s="246"/>
      <c r="V173" s="247"/>
      <c r="W173" s="122"/>
      <c r="X173" s="121"/>
    </row>
    <row r="174" spans="1:24" ht="15" customHeight="1">
      <c r="A174" s="224"/>
      <c r="B174" s="225"/>
      <c r="C174" s="226"/>
      <c r="D174" s="225"/>
      <c r="E174" s="226"/>
      <c r="F174" s="231" t="s">
        <v>2676</v>
      </c>
      <c r="G174" s="249">
        <v>250000</v>
      </c>
      <c r="H174" s="240" t="s">
        <v>282</v>
      </c>
      <c r="I174" s="256">
        <v>2</v>
      </c>
      <c r="J174" s="240"/>
      <c r="K174" s="256"/>
      <c r="L174" s="240"/>
      <c r="M174" s="256"/>
      <c r="N174" s="240"/>
      <c r="O174" s="1674"/>
      <c r="P174" s="244" t="s">
        <v>274</v>
      </c>
      <c r="Q174" s="249">
        <f t="shared" si="17"/>
        <v>500000</v>
      </c>
      <c r="R174" s="235"/>
      <c r="S174" s="997"/>
      <c r="T174" s="235"/>
      <c r="U174" s="246"/>
      <c r="V174" s="247"/>
      <c r="W174" s="122"/>
      <c r="X174" s="121"/>
    </row>
    <row r="175" spans="1:24" ht="15" customHeight="1">
      <c r="A175" s="224"/>
      <c r="B175" s="225"/>
      <c r="C175" s="226"/>
      <c r="D175" s="225"/>
      <c r="E175" s="226"/>
      <c r="F175" s="231" t="s">
        <v>2694</v>
      </c>
      <c r="G175" s="249">
        <v>5000</v>
      </c>
      <c r="H175" s="240" t="s">
        <v>282</v>
      </c>
      <c r="I175" s="241">
        <v>20</v>
      </c>
      <c r="J175" s="240" t="s">
        <v>282</v>
      </c>
      <c r="K175" s="256">
        <v>5</v>
      </c>
      <c r="L175" s="250"/>
      <c r="M175" s="240"/>
      <c r="N175" s="240"/>
      <c r="O175" s="244"/>
      <c r="P175" s="244" t="s">
        <v>274</v>
      </c>
      <c r="Q175" s="249">
        <f>G175*I175*K175</f>
        <v>500000</v>
      </c>
      <c r="R175" s="235"/>
      <c r="S175" s="997"/>
      <c r="T175" s="235"/>
      <c r="U175" s="246"/>
      <c r="V175" s="247"/>
      <c r="W175" s="122"/>
      <c r="X175" s="121"/>
    </row>
    <row r="176" spans="1:24" ht="15" customHeight="1">
      <c r="A176" s="224"/>
      <c r="B176" s="225"/>
      <c r="C176" s="226"/>
      <c r="D176" s="225"/>
      <c r="E176" s="226"/>
      <c r="F176" s="231" t="s">
        <v>2692</v>
      </c>
      <c r="G176" s="249">
        <v>200000</v>
      </c>
      <c r="H176" s="240" t="s">
        <v>282</v>
      </c>
      <c r="I176" s="256">
        <v>1</v>
      </c>
      <c r="J176" s="240"/>
      <c r="K176" s="256"/>
      <c r="L176" s="250"/>
      <c r="M176" s="240"/>
      <c r="N176" s="240"/>
      <c r="O176" s="244"/>
      <c r="P176" s="244" t="s">
        <v>274</v>
      </c>
      <c r="Q176" s="249">
        <f t="shared" ref="Q176" si="18">G176*I176</f>
        <v>200000</v>
      </c>
      <c r="R176" s="235"/>
      <c r="S176" s="997"/>
      <c r="T176" s="235"/>
      <c r="U176" s="246"/>
      <c r="V176" s="247"/>
      <c r="W176" s="122"/>
      <c r="X176" s="121"/>
    </row>
    <row r="177" spans="1:27" ht="15" customHeight="1">
      <c r="A177" s="224"/>
      <c r="B177" s="225"/>
      <c r="C177" s="226"/>
      <c r="D177" s="225"/>
      <c r="E177" s="66" t="s">
        <v>533</v>
      </c>
      <c r="F177" s="269"/>
      <c r="G177" s="270"/>
      <c r="H177" s="268"/>
      <c r="I177" s="268"/>
      <c r="J177" s="268"/>
      <c r="K177" s="268"/>
      <c r="L177" s="1556"/>
      <c r="M177" s="268"/>
      <c r="N177" s="268"/>
      <c r="O177" s="271"/>
      <c r="P177" s="271"/>
      <c r="Q177" s="268"/>
      <c r="R177" s="171">
        <f>Q179</f>
        <v>1000000</v>
      </c>
      <c r="S177" s="171">
        <v>0</v>
      </c>
      <c r="T177" s="171">
        <f>R177-S177</f>
        <v>1000000</v>
      </c>
      <c r="U177" s="172">
        <v>1</v>
      </c>
    </row>
    <row r="178" spans="1:27" ht="15" customHeight="1">
      <c r="A178" s="224"/>
      <c r="B178" s="225"/>
      <c r="C178" s="226"/>
      <c r="D178" s="225"/>
      <c r="E178" s="226"/>
      <c r="F178" s="96" t="s">
        <v>917</v>
      </c>
      <c r="G178" s="249"/>
      <c r="H178" s="240"/>
      <c r="I178" s="240"/>
      <c r="J178" s="240"/>
      <c r="K178" s="240"/>
      <c r="L178" s="250"/>
      <c r="M178" s="240"/>
      <c r="N178" s="240"/>
      <c r="O178" s="244"/>
      <c r="P178" s="244"/>
      <c r="Q178" s="251"/>
      <c r="R178" s="235"/>
      <c r="S178" s="997"/>
      <c r="T178" s="235"/>
      <c r="U178" s="246"/>
      <c r="V178" s="237"/>
      <c r="W178" s="103"/>
      <c r="X178" s="97"/>
    </row>
    <row r="179" spans="1:27" ht="15" customHeight="1">
      <c r="A179" s="224"/>
      <c r="B179" s="225"/>
      <c r="C179" s="226"/>
      <c r="D179" s="225"/>
      <c r="E179" s="226"/>
      <c r="F179" s="126" t="s">
        <v>918</v>
      </c>
      <c r="G179" s="249"/>
      <c r="H179" s="240"/>
      <c r="I179" s="894"/>
      <c r="J179" s="240"/>
      <c r="K179" s="240"/>
      <c r="L179" s="250"/>
      <c r="M179" s="240"/>
      <c r="N179" s="240"/>
      <c r="O179" s="244"/>
      <c r="P179" s="244"/>
      <c r="Q179" s="251">
        <f>SUM(Q180:Q182)</f>
        <v>1000000</v>
      </c>
      <c r="R179" s="235"/>
      <c r="S179" s="997"/>
      <c r="T179" s="235"/>
      <c r="U179" s="246"/>
      <c r="V179" s="247"/>
      <c r="W179" s="90"/>
      <c r="X179" s="123"/>
    </row>
    <row r="180" spans="1:27" ht="15" customHeight="1">
      <c r="A180" s="224"/>
      <c r="B180" s="225"/>
      <c r="C180" s="226"/>
      <c r="D180" s="225"/>
      <c r="E180" s="521"/>
      <c r="F180" s="231" t="s">
        <v>2695</v>
      </c>
      <c r="G180" s="249">
        <v>180000</v>
      </c>
      <c r="H180" s="240" t="s">
        <v>282</v>
      </c>
      <c r="I180" s="256">
        <v>3</v>
      </c>
      <c r="J180" s="240"/>
      <c r="K180" s="240"/>
      <c r="L180" s="250"/>
      <c r="M180" s="240"/>
      <c r="N180" s="240"/>
      <c r="O180" s="244"/>
      <c r="P180" s="244" t="s">
        <v>274</v>
      </c>
      <c r="Q180" s="249">
        <f>G180*I180</f>
        <v>540000</v>
      </c>
      <c r="R180" s="235"/>
      <c r="S180" s="997"/>
      <c r="T180" s="235"/>
      <c r="U180" s="246"/>
      <c r="V180" s="247"/>
      <c r="W180" s="90"/>
      <c r="X180" s="123"/>
    </row>
    <row r="181" spans="1:27" ht="15" customHeight="1">
      <c r="A181" s="224"/>
      <c r="B181" s="225"/>
      <c r="C181" s="226"/>
      <c r="D181" s="225"/>
      <c r="E181" s="521"/>
      <c r="F181" s="231" t="s">
        <v>2696</v>
      </c>
      <c r="G181" s="249">
        <v>5000</v>
      </c>
      <c r="H181" s="240" t="s">
        <v>282</v>
      </c>
      <c r="I181" s="241">
        <v>15</v>
      </c>
      <c r="J181" s="240" t="s">
        <v>282</v>
      </c>
      <c r="K181" s="256">
        <v>4</v>
      </c>
      <c r="L181" s="250"/>
      <c r="M181" s="240"/>
      <c r="N181" s="240"/>
      <c r="O181" s="244"/>
      <c r="P181" s="244" t="s">
        <v>274</v>
      </c>
      <c r="Q181" s="249">
        <f>G181*I181*K181</f>
        <v>300000</v>
      </c>
      <c r="R181" s="235"/>
      <c r="S181" s="997"/>
      <c r="T181" s="235"/>
      <c r="U181" s="246"/>
      <c r="V181" s="247"/>
      <c r="W181" s="90"/>
      <c r="X181" s="123"/>
    </row>
    <row r="182" spans="1:27" ht="15" customHeight="1">
      <c r="A182" s="576"/>
      <c r="B182" s="278"/>
      <c r="C182" s="279"/>
      <c r="D182" s="278"/>
      <c r="E182" s="279"/>
      <c r="F182" s="231" t="s">
        <v>2697</v>
      </c>
      <c r="G182" s="249">
        <v>40000</v>
      </c>
      <c r="H182" s="240" t="s">
        <v>282</v>
      </c>
      <c r="I182" s="256">
        <v>4</v>
      </c>
      <c r="J182" s="240"/>
      <c r="K182" s="256"/>
      <c r="L182" s="240"/>
      <c r="M182" s="256"/>
      <c r="N182" s="240"/>
      <c r="O182" s="1674"/>
      <c r="P182" s="244" t="s">
        <v>274</v>
      </c>
      <c r="Q182" s="249">
        <f t="shared" ref="Q182" si="19">G182*I182</f>
        <v>160000</v>
      </c>
      <c r="R182" s="287"/>
      <c r="S182" s="1027"/>
      <c r="T182" s="287"/>
      <c r="U182" s="288"/>
      <c r="V182" s="247"/>
      <c r="W182" s="90"/>
      <c r="X182" s="123"/>
    </row>
    <row r="183" spans="1:27" ht="15" customHeight="1">
      <c r="A183" s="224"/>
      <c r="B183" s="222"/>
      <c r="C183" s="205" t="s">
        <v>430</v>
      </c>
      <c r="D183" s="205"/>
      <c r="E183" s="206"/>
      <c r="F183" s="207"/>
      <c r="G183" s="208"/>
      <c r="H183" s="209"/>
      <c r="I183" s="209"/>
      <c r="J183" s="209"/>
      <c r="K183" s="209"/>
      <c r="L183" s="581"/>
      <c r="M183" s="209"/>
      <c r="N183" s="209"/>
      <c r="O183" s="210"/>
      <c r="P183" s="210"/>
      <c r="Q183" s="209"/>
      <c r="R183" s="211">
        <f>R184</f>
        <v>16790000</v>
      </c>
      <c r="S183" s="211">
        <f>S184</f>
        <v>11721000</v>
      </c>
      <c r="T183" s="211">
        <f>R183-S183</f>
        <v>5069000</v>
      </c>
      <c r="U183" s="1429">
        <f t="shared" si="8"/>
        <v>0.43247163211330092</v>
      </c>
      <c r="W183" s="90"/>
      <c r="X183" s="123"/>
    </row>
    <row r="184" spans="1:27" ht="15" customHeight="1">
      <c r="A184" s="224"/>
      <c r="B184" s="222"/>
      <c r="C184" s="223"/>
      <c r="D184" s="394" t="s">
        <v>919</v>
      </c>
      <c r="E184" s="84"/>
      <c r="F184" s="85"/>
      <c r="G184" s="86"/>
      <c r="H184" s="84"/>
      <c r="I184" s="84"/>
      <c r="J184" s="84"/>
      <c r="K184" s="84"/>
      <c r="L184" s="83"/>
      <c r="M184" s="84"/>
      <c r="N184" s="84"/>
      <c r="O184" s="87"/>
      <c r="P184" s="87"/>
      <c r="Q184" s="84"/>
      <c r="R184" s="76">
        <f>R185+R191+R195</f>
        <v>16790000</v>
      </c>
      <c r="S184" s="76">
        <f>S185+S191+S195+S189+S190</f>
        <v>11721000</v>
      </c>
      <c r="T184" s="560">
        <f>R184-S184</f>
        <v>5069000</v>
      </c>
      <c r="U184" s="573">
        <f t="shared" si="8"/>
        <v>0.43247163211330092</v>
      </c>
      <c r="W184" s="122"/>
      <c r="X184" s="121">
        <v>2018</v>
      </c>
      <c r="Y184" s="196">
        <v>2017</v>
      </c>
    </row>
    <row r="185" spans="1:27" ht="15" customHeight="1">
      <c r="A185" s="224"/>
      <c r="B185" s="225"/>
      <c r="C185" s="226"/>
      <c r="D185" s="225"/>
      <c r="E185" s="66" t="s">
        <v>655</v>
      </c>
      <c r="F185" s="227"/>
      <c r="G185" s="228"/>
      <c r="H185" s="66"/>
      <c r="I185" s="66"/>
      <c r="J185" s="66"/>
      <c r="K185" s="66"/>
      <c r="L185" s="229"/>
      <c r="M185" s="66"/>
      <c r="N185" s="66"/>
      <c r="O185" s="230"/>
      <c r="P185" s="230"/>
      <c r="Q185" s="66"/>
      <c r="R185" s="171">
        <f>Q186</f>
        <v>10030000</v>
      </c>
      <c r="S185" s="171">
        <v>6600000</v>
      </c>
      <c r="T185" s="171">
        <f>R185-S185</f>
        <v>3430000</v>
      </c>
      <c r="U185" s="172">
        <f t="shared" si="8"/>
        <v>0.51969696969696966</v>
      </c>
      <c r="W185" s="103" t="s">
        <v>2133</v>
      </c>
      <c r="X185" s="1558">
        <f>R185+R191+R195</f>
        <v>16790000</v>
      </c>
      <c r="Y185" s="1558">
        <f>S185+S191+S195+S189+S190</f>
        <v>11721000</v>
      </c>
    </row>
    <row r="186" spans="1:27" ht="15" customHeight="1">
      <c r="A186" s="224"/>
      <c r="B186" s="225"/>
      <c r="C186" s="226"/>
      <c r="D186" s="225"/>
      <c r="E186" s="226"/>
      <c r="F186" s="231" t="s">
        <v>536</v>
      </c>
      <c r="G186" s="249"/>
      <c r="H186" s="240"/>
      <c r="I186" s="240"/>
      <c r="J186" s="240"/>
      <c r="K186" s="240"/>
      <c r="L186" s="250"/>
      <c r="M186" s="240"/>
      <c r="N186" s="240"/>
      <c r="O186" s="244"/>
      <c r="P186" s="244"/>
      <c r="Q186" s="251">
        <f>SUM(Q187:Q188)</f>
        <v>10030000</v>
      </c>
      <c r="R186" s="235"/>
      <c r="S186" s="997"/>
      <c r="T186" s="235"/>
      <c r="U186" s="246"/>
      <c r="W186" s="103"/>
      <c r="X186" s="121"/>
    </row>
    <row r="187" spans="1:27" ht="15" customHeight="1">
      <c r="A187" s="224"/>
      <c r="B187" s="225"/>
      <c r="C187" s="226"/>
      <c r="D187" s="225"/>
      <c r="E187" s="237"/>
      <c r="F187" s="238" t="s">
        <v>920</v>
      </c>
      <c r="G187" s="252">
        <v>400000</v>
      </c>
      <c r="H187" s="240" t="s">
        <v>282</v>
      </c>
      <c r="I187" s="241">
        <v>4</v>
      </c>
      <c r="J187" s="240"/>
      <c r="K187" s="242"/>
      <c r="L187" s="243"/>
      <c r="M187" s="242"/>
      <c r="N187" s="242"/>
      <c r="O187" s="244"/>
      <c r="P187" s="244" t="s">
        <v>281</v>
      </c>
      <c r="Q187" s="249">
        <f>G187*I187</f>
        <v>1600000</v>
      </c>
      <c r="R187" s="235"/>
      <c r="S187" s="997"/>
      <c r="T187" s="235"/>
      <c r="U187" s="246"/>
      <c r="V187" s="1547"/>
      <c r="W187" s="1548"/>
      <c r="X187" s="1549"/>
      <c r="Y187" s="1549"/>
      <c r="Z187" s="1550"/>
      <c r="AA187" s="1551"/>
    </row>
    <row r="188" spans="1:27" ht="15" customHeight="1">
      <c r="A188" s="224"/>
      <c r="B188" s="225"/>
      <c r="C188" s="226"/>
      <c r="D188" s="225"/>
      <c r="E188" s="237"/>
      <c r="F188" s="238" t="s">
        <v>439</v>
      </c>
      <c r="G188" s="252">
        <v>1053750</v>
      </c>
      <c r="H188" s="240" t="s">
        <v>282</v>
      </c>
      <c r="I188" s="241">
        <v>8</v>
      </c>
      <c r="J188" s="240"/>
      <c r="K188" s="242"/>
      <c r="L188" s="243"/>
      <c r="M188" s="242"/>
      <c r="N188" s="242"/>
      <c r="O188" s="244"/>
      <c r="P188" s="244" t="s">
        <v>281</v>
      </c>
      <c r="Q188" s="249">
        <f>G188*I188</f>
        <v>8430000</v>
      </c>
      <c r="R188" s="235"/>
      <c r="S188" s="997"/>
      <c r="T188" s="235"/>
      <c r="U188" s="246"/>
      <c r="V188" s="126"/>
      <c r="W188" s="249"/>
      <c r="X188" s="240"/>
      <c r="Y188" s="894"/>
    </row>
    <row r="189" spans="1:27" ht="15" customHeight="1">
      <c r="A189" s="224"/>
      <c r="B189" s="225"/>
      <c r="C189" s="226"/>
      <c r="D189" s="225"/>
      <c r="E189" s="66" t="s">
        <v>2146</v>
      </c>
      <c r="F189" s="227"/>
      <c r="G189" s="228"/>
      <c r="H189" s="66"/>
      <c r="I189" s="66"/>
      <c r="J189" s="66"/>
      <c r="K189" s="66"/>
      <c r="L189" s="229"/>
      <c r="M189" s="66"/>
      <c r="N189" s="66"/>
      <c r="O189" s="230"/>
      <c r="P189" s="230"/>
      <c r="Q189" s="66"/>
      <c r="R189" s="171">
        <f>Q191</f>
        <v>0</v>
      </c>
      <c r="S189" s="171">
        <v>3000000</v>
      </c>
      <c r="T189" s="171">
        <f>R189-S189</f>
        <v>-3000000</v>
      </c>
      <c r="U189" s="172">
        <f t="shared" ref="U189" si="20">T189/S189</f>
        <v>-1</v>
      </c>
      <c r="V189" s="126"/>
      <c r="W189" s="249"/>
      <c r="X189" s="240"/>
      <c r="Y189" s="894"/>
    </row>
    <row r="190" spans="1:27" ht="15" customHeight="1">
      <c r="A190" s="224"/>
      <c r="B190" s="225"/>
      <c r="C190" s="226"/>
      <c r="D190" s="225"/>
      <c r="E190" s="66" t="s">
        <v>2147</v>
      </c>
      <c r="F190" s="227"/>
      <c r="G190" s="228"/>
      <c r="H190" s="66"/>
      <c r="I190" s="66"/>
      <c r="J190" s="66"/>
      <c r="K190" s="66"/>
      <c r="L190" s="229"/>
      <c r="M190" s="66"/>
      <c r="N190" s="66"/>
      <c r="O190" s="230"/>
      <c r="P190" s="230"/>
      <c r="Q190" s="66"/>
      <c r="R190" s="171">
        <v>0</v>
      </c>
      <c r="S190" s="171">
        <v>201000</v>
      </c>
      <c r="T190" s="171">
        <f>R190-S190</f>
        <v>-201000</v>
      </c>
      <c r="U190" s="172">
        <f t="shared" ref="U190" si="21">T190/S190</f>
        <v>-1</v>
      </c>
      <c r="V190" s="126"/>
      <c r="W190" s="249"/>
      <c r="X190" s="240"/>
      <c r="Y190" s="894"/>
    </row>
    <row r="191" spans="1:27" ht="15" customHeight="1">
      <c r="A191" s="224"/>
      <c r="B191" s="225"/>
      <c r="C191" s="226"/>
      <c r="D191" s="225"/>
      <c r="E191" s="66" t="s">
        <v>921</v>
      </c>
      <c r="F191" s="227"/>
      <c r="G191" s="228"/>
      <c r="H191" s="66"/>
      <c r="I191" s="66"/>
      <c r="J191" s="66"/>
      <c r="K191" s="66"/>
      <c r="L191" s="229"/>
      <c r="M191" s="66"/>
      <c r="N191" s="66"/>
      <c r="O191" s="230"/>
      <c r="P191" s="230"/>
      <c r="Q191" s="66"/>
      <c r="R191" s="171">
        <f>Q192</f>
        <v>4200000</v>
      </c>
      <c r="S191" s="171">
        <v>960000</v>
      </c>
      <c r="T191" s="171">
        <f>R191-S191</f>
        <v>3240000</v>
      </c>
      <c r="U191" s="172">
        <f t="shared" si="8"/>
        <v>3.375</v>
      </c>
    </row>
    <row r="192" spans="1:27" ht="15" customHeight="1">
      <c r="A192" s="224"/>
      <c r="B192" s="225"/>
      <c r="C192" s="226"/>
      <c r="D192" s="225"/>
      <c r="E192" s="226"/>
      <c r="F192" s="231" t="s">
        <v>538</v>
      </c>
      <c r="G192" s="249"/>
      <c r="H192" s="240"/>
      <c r="I192" s="240"/>
      <c r="J192" s="240"/>
      <c r="K192" s="240"/>
      <c r="L192" s="250"/>
      <c r="M192" s="240"/>
      <c r="N192" s="240"/>
      <c r="O192" s="244"/>
      <c r="P192" s="244"/>
      <c r="Q192" s="251">
        <f>SUM(Q193:Q194)</f>
        <v>4200000</v>
      </c>
      <c r="R192" s="235"/>
      <c r="S192" s="997"/>
      <c r="T192" s="235"/>
      <c r="U192" s="246"/>
      <c r="W192" s="275"/>
    </row>
    <row r="193" spans="1:27" ht="15" customHeight="1">
      <c r="A193" s="224"/>
      <c r="B193" s="225"/>
      <c r="C193" s="226"/>
      <c r="D193" s="225"/>
      <c r="E193" s="237"/>
      <c r="F193" s="238" t="s">
        <v>922</v>
      </c>
      <c r="G193" s="252">
        <v>200000</v>
      </c>
      <c r="H193" s="240" t="s">
        <v>282</v>
      </c>
      <c r="I193" s="242">
        <v>12</v>
      </c>
      <c r="J193" s="240"/>
      <c r="K193" s="242"/>
      <c r="L193" s="243"/>
      <c r="M193" s="242"/>
      <c r="N193" s="242"/>
      <c r="O193" s="244"/>
      <c r="P193" s="244" t="s">
        <v>274</v>
      </c>
      <c r="Q193" s="249">
        <f>G193*I193</f>
        <v>2400000</v>
      </c>
      <c r="R193" s="235"/>
      <c r="S193" s="997"/>
      <c r="T193" s="235"/>
      <c r="U193" s="246"/>
      <c r="W193" s="275"/>
    </row>
    <row r="194" spans="1:27" ht="15" customHeight="1">
      <c r="A194" s="224"/>
      <c r="B194" s="225"/>
      <c r="C194" s="226"/>
      <c r="D194" s="225"/>
      <c r="E194" s="577"/>
      <c r="F194" s="578" t="s">
        <v>450</v>
      </c>
      <c r="G194" s="282">
        <v>150000</v>
      </c>
      <c r="H194" s="283" t="s">
        <v>273</v>
      </c>
      <c r="I194" s="242">
        <v>12</v>
      </c>
      <c r="J194" s="283"/>
      <c r="K194" s="284"/>
      <c r="L194" s="1402"/>
      <c r="M194" s="284"/>
      <c r="N194" s="284"/>
      <c r="O194" s="285"/>
      <c r="P194" s="285" t="s">
        <v>281</v>
      </c>
      <c r="Q194" s="249">
        <f>G194*I194</f>
        <v>1800000</v>
      </c>
      <c r="R194" s="287"/>
      <c r="S194" s="1027"/>
      <c r="T194" s="287"/>
      <c r="U194" s="288"/>
      <c r="V194" s="236"/>
    </row>
    <row r="195" spans="1:27" ht="15" customHeight="1">
      <c r="A195" s="224"/>
      <c r="B195" s="225"/>
      <c r="C195" s="226"/>
      <c r="D195" s="225"/>
      <c r="E195" s="66" t="s">
        <v>451</v>
      </c>
      <c r="F195" s="66"/>
      <c r="G195" s="228"/>
      <c r="H195" s="66"/>
      <c r="I195" s="66"/>
      <c r="J195" s="66"/>
      <c r="K195" s="66"/>
      <c r="L195" s="229"/>
      <c r="M195" s="66"/>
      <c r="N195" s="66"/>
      <c r="O195" s="230"/>
      <c r="P195" s="66"/>
      <c r="Q195" s="66"/>
      <c r="R195" s="171">
        <f>SUM(Q196)</f>
        <v>2560000</v>
      </c>
      <c r="S195" s="171">
        <v>960000</v>
      </c>
      <c r="T195" s="171">
        <f>R195-S195</f>
        <v>1600000</v>
      </c>
      <c r="U195" s="172">
        <f t="shared" ref="U195" si="22">T195/S195</f>
        <v>1.6666666666666667</v>
      </c>
      <c r="W195" s="275"/>
    </row>
    <row r="196" spans="1:27" ht="15" customHeight="1">
      <c r="A196" s="224"/>
      <c r="B196" s="225"/>
      <c r="C196" s="226"/>
      <c r="D196" s="225"/>
      <c r="E196" s="226"/>
      <c r="F196" s="226" t="s">
        <v>540</v>
      </c>
      <c r="G196" s="249"/>
      <c r="H196" s="240"/>
      <c r="I196" s="240"/>
      <c r="J196" s="240"/>
      <c r="K196" s="240"/>
      <c r="L196" s="250"/>
      <c r="M196" s="240"/>
      <c r="N196" s="240"/>
      <c r="O196" s="244"/>
      <c r="P196" s="251"/>
      <c r="Q196" s="251">
        <f>SUM(Q197:Q198)</f>
        <v>2560000</v>
      </c>
      <c r="R196" s="235"/>
      <c r="S196" s="235"/>
      <c r="T196" s="1559"/>
      <c r="U196" s="1560"/>
    </row>
    <row r="197" spans="1:27" s="917" customFormat="1" ht="15" customHeight="1">
      <c r="A197" s="88"/>
      <c r="B197" s="89"/>
      <c r="C197" s="90"/>
      <c r="D197" s="89"/>
      <c r="E197" s="90"/>
      <c r="F197" s="132" t="s">
        <v>923</v>
      </c>
      <c r="G197" s="252">
        <v>80000</v>
      </c>
      <c r="H197" s="240" t="s">
        <v>273</v>
      </c>
      <c r="I197" s="241">
        <v>8</v>
      </c>
      <c r="J197" s="240"/>
      <c r="K197" s="242"/>
      <c r="L197" s="243"/>
      <c r="M197" s="242"/>
      <c r="N197" s="242"/>
      <c r="O197" s="244"/>
      <c r="P197" s="244" t="s">
        <v>281</v>
      </c>
      <c r="Q197" s="249">
        <f>G197*I197</f>
        <v>640000</v>
      </c>
      <c r="R197" s="112"/>
      <c r="S197" s="112"/>
      <c r="T197" s="1561"/>
      <c r="U197" s="1562"/>
      <c r="AA197" s="918"/>
    </row>
    <row r="198" spans="1:27" ht="15" customHeight="1">
      <c r="A198" s="224"/>
      <c r="B198" s="225"/>
      <c r="C198" s="226"/>
      <c r="D198" s="225"/>
      <c r="E198" s="237"/>
      <c r="F198" s="122" t="s">
        <v>453</v>
      </c>
      <c r="G198" s="252">
        <v>160000</v>
      </c>
      <c r="H198" s="240" t="s">
        <v>273</v>
      </c>
      <c r="I198" s="242">
        <v>12</v>
      </c>
      <c r="J198" s="240"/>
      <c r="K198" s="242"/>
      <c r="L198" s="243"/>
      <c r="M198" s="242"/>
      <c r="N198" s="242"/>
      <c r="O198" s="244"/>
      <c r="P198" s="244" t="s">
        <v>274</v>
      </c>
      <c r="Q198" s="249">
        <f>G198*I198</f>
        <v>1920000</v>
      </c>
      <c r="R198" s="235"/>
      <c r="S198" s="235"/>
      <c r="T198" s="1559"/>
      <c r="U198" s="1560"/>
    </row>
    <row r="199" spans="1:27" ht="15" customHeight="1">
      <c r="A199" s="224"/>
      <c r="B199" s="225"/>
      <c r="C199" s="266" t="s">
        <v>1406</v>
      </c>
      <c r="D199" s="214"/>
      <c r="E199" s="214"/>
      <c r="F199" s="215"/>
      <c r="G199" s="216"/>
      <c r="H199" s="217"/>
      <c r="I199" s="217"/>
      <c r="J199" s="217"/>
      <c r="K199" s="217"/>
      <c r="L199" s="218"/>
      <c r="M199" s="217"/>
      <c r="N199" s="217"/>
      <c r="O199" s="219"/>
      <c r="P199" s="219"/>
      <c r="Q199" s="217"/>
      <c r="R199" s="220">
        <f>R200</f>
        <v>10000000</v>
      </c>
      <c r="S199" s="220">
        <f>S200</f>
        <v>0</v>
      </c>
      <c r="T199" s="220">
        <f>R199-S199</f>
        <v>10000000</v>
      </c>
      <c r="U199" s="221">
        <v>1</v>
      </c>
      <c r="AA199" s="196"/>
    </row>
    <row r="200" spans="1:27" ht="15" customHeight="1">
      <c r="A200" s="224"/>
      <c r="B200" s="225"/>
      <c r="C200" s="222"/>
      <c r="D200" s="394" t="s">
        <v>1405</v>
      </c>
      <c r="E200" s="84"/>
      <c r="F200" s="85"/>
      <c r="G200" s="86"/>
      <c r="H200" s="84"/>
      <c r="I200" s="84"/>
      <c r="J200" s="84"/>
      <c r="K200" s="84"/>
      <c r="L200" s="83"/>
      <c r="M200" s="84"/>
      <c r="N200" s="84"/>
      <c r="O200" s="87"/>
      <c r="P200" s="87"/>
      <c r="Q200" s="84"/>
      <c r="R200" s="76">
        <f>R201</f>
        <v>10000000</v>
      </c>
      <c r="S200" s="76">
        <f>S201</f>
        <v>0</v>
      </c>
      <c r="T200" s="76">
        <f>R200-S200</f>
        <v>10000000</v>
      </c>
      <c r="U200" s="77">
        <v>1</v>
      </c>
      <c r="AA200" s="196"/>
    </row>
    <row r="201" spans="1:27" ht="15" customHeight="1">
      <c r="A201" s="224"/>
      <c r="B201" s="225"/>
      <c r="C201" s="222"/>
      <c r="D201" s="222"/>
      <c r="E201" s="66" t="s">
        <v>1643</v>
      </c>
      <c r="F201" s="227"/>
      <c r="G201" s="228"/>
      <c r="H201" s="66"/>
      <c r="I201" s="66"/>
      <c r="J201" s="66"/>
      <c r="K201" s="66"/>
      <c r="L201" s="229"/>
      <c r="M201" s="66"/>
      <c r="N201" s="66"/>
      <c r="O201" s="230"/>
      <c r="P201" s="230"/>
      <c r="Q201" s="66"/>
      <c r="R201" s="171">
        <f>ROUNDUP(Q202+Q204,-3)</f>
        <v>10000000</v>
      </c>
      <c r="S201" s="171">
        <v>0</v>
      </c>
      <c r="T201" s="171">
        <f>R201-S201</f>
        <v>10000000</v>
      </c>
      <c r="U201" s="172">
        <v>1</v>
      </c>
      <c r="AA201" s="196"/>
    </row>
    <row r="202" spans="1:27" ht="15" customHeight="1">
      <c r="A202" s="224"/>
      <c r="B202" s="225"/>
      <c r="C202" s="222"/>
      <c r="D202" s="222"/>
      <c r="E202" s="1037"/>
      <c r="F202" s="240" t="s">
        <v>1640</v>
      </c>
      <c r="G202" s="249"/>
      <c r="H202" s="240"/>
      <c r="I202" s="240"/>
      <c r="J202" s="240"/>
      <c r="K202" s="240"/>
      <c r="L202" s="240"/>
      <c r="M202" s="240"/>
      <c r="N202" s="240"/>
      <c r="O202" s="244"/>
      <c r="P202" s="251"/>
      <c r="Q202" s="251">
        <f>Q203</f>
        <v>100000</v>
      </c>
      <c r="R202" s="428"/>
      <c r="S202" s="428"/>
      <c r="T202" s="428"/>
      <c r="U202" s="429"/>
      <c r="AA202" s="196"/>
    </row>
    <row r="203" spans="1:27" ht="15" customHeight="1">
      <c r="A203" s="224"/>
      <c r="B203" s="225"/>
      <c r="C203" s="222"/>
      <c r="D203" s="222"/>
      <c r="E203" s="223"/>
      <c r="F203" s="998" t="s">
        <v>928</v>
      </c>
      <c r="G203" s="252">
        <v>100000</v>
      </c>
      <c r="H203" s="240" t="s">
        <v>273</v>
      </c>
      <c r="I203" s="999">
        <v>1</v>
      </c>
      <c r="J203" s="240"/>
      <c r="K203" s="242"/>
      <c r="L203" s="240"/>
      <c r="M203" s="240"/>
      <c r="N203" s="240"/>
      <c r="O203" s="244"/>
      <c r="P203" s="244" t="s">
        <v>925</v>
      </c>
      <c r="Q203" s="245">
        <f>G203*I203</f>
        <v>100000</v>
      </c>
      <c r="R203" s="1535"/>
      <c r="S203" s="1535"/>
      <c r="T203" s="1535"/>
      <c r="U203" s="1536"/>
      <c r="AA203" s="196"/>
    </row>
    <row r="204" spans="1:27" ht="15" customHeight="1">
      <c r="A204" s="224"/>
      <c r="B204" s="225"/>
      <c r="C204" s="222"/>
      <c r="D204" s="222"/>
      <c r="E204" s="1126"/>
      <c r="F204" s="240" t="s">
        <v>1641</v>
      </c>
      <c r="G204" s="252"/>
      <c r="H204" s="240"/>
      <c r="I204" s="999"/>
      <c r="J204" s="240"/>
      <c r="K204" s="242"/>
      <c r="L204" s="240"/>
      <c r="M204" s="240"/>
      <c r="N204" s="240"/>
      <c r="O204" s="244"/>
      <c r="P204" s="244"/>
      <c r="Q204" s="251">
        <f>Q205</f>
        <v>9900000</v>
      </c>
      <c r="R204" s="1535"/>
      <c r="S204" s="1535"/>
      <c r="T204" s="1535"/>
      <c r="U204" s="1536"/>
      <c r="AA204" s="196"/>
    </row>
    <row r="205" spans="1:27" ht="15" customHeight="1">
      <c r="A205" s="224"/>
      <c r="B205" s="225"/>
      <c r="C205" s="1342"/>
      <c r="D205" s="1342"/>
      <c r="E205" s="206"/>
      <c r="F205" s="1023" t="s">
        <v>1642</v>
      </c>
      <c r="G205" s="579">
        <v>9900000</v>
      </c>
      <c r="H205" s="283" t="s">
        <v>273</v>
      </c>
      <c r="I205" s="1563">
        <v>1</v>
      </c>
      <c r="J205" s="283"/>
      <c r="K205" s="284"/>
      <c r="L205" s="283"/>
      <c r="M205" s="283"/>
      <c r="N205" s="283"/>
      <c r="O205" s="285"/>
      <c r="P205" s="1564" t="s">
        <v>110</v>
      </c>
      <c r="Q205" s="286">
        <f>G205*I205</f>
        <v>9900000</v>
      </c>
      <c r="R205" s="211"/>
      <c r="S205" s="211"/>
      <c r="T205" s="211"/>
      <c r="U205" s="212"/>
      <c r="AA205" s="196"/>
    </row>
    <row r="206" spans="1:27" ht="15" customHeight="1">
      <c r="A206" s="224"/>
      <c r="B206" s="225"/>
      <c r="C206" s="205" t="s">
        <v>843</v>
      </c>
      <c r="D206" s="1116"/>
      <c r="E206" s="280"/>
      <c r="F206" s="281"/>
      <c r="G206" s="282"/>
      <c r="H206" s="283"/>
      <c r="I206" s="592"/>
      <c r="J206" s="283"/>
      <c r="K206" s="284"/>
      <c r="L206" s="1402"/>
      <c r="M206" s="284"/>
      <c r="N206" s="284"/>
      <c r="O206" s="285"/>
      <c r="P206" s="285"/>
      <c r="Q206" s="286"/>
      <c r="R206" s="1428">
        <f>R207</f>
        <v>0</v>
      </c>
      <c r="S206" s="1428">
        <f>S207</f>
        <v>12100000</v>
      </c>
      <c r="T206" s="211">
        <f>R206-S206</f>
        <v>-12100000</v>
      </c>
      <c r="U206" s="1429">
        <f t="shared" ref="U206:U208" si="23">T206/S206</f>
        <v>-1</v>
      </c>
    </row>
    <row r="207" spans="1:27" ht="15" customHeight="1">
      <c r="A207" s="224"/>
      <c r="B207" s="225"/>
      <c r="C207" s="1029"/>
      <c r="D207" s="554" t="s">
        <v>471</v>
      </c>
      <c r="E207" s="84"/>
      <c r="F207" s="555"/>
      <c r="G207" s="556"/>
      <c r="H207" s="557"/>
      <c r="I207" s="557"/>
      <c r="J207" s="557"/>
      <c r="K207" s="557"/>
      <c r="L207" s="558"/>
      <c r="M207" s="557"/>
      <c r="N207" s="557"/>
      <c r="O207" s="559"/>
      <c r="P207" s="559"/>
      <c r="Q207" s="557"/>
      <c r="R207" s="560">
        <f>R208</f>
        <v>0</v>
      </c>
      <c r="S207" s="560">
        <f>S208</f>
        <v>12100000</v>
      </c>
      <c r="T207" s="560">
        <f>R207-S207</f>
        <v>-12100000</v>
      </c>
      <c r="U207" s="573">
        <f t="shared" si="23"/>
        <v>-1</v>
      </c>
    </row>
    <row r="208" spans="1:27" ht="15" customHeight="1" thickBot="1">
      <c r="A208" s="425"/>
      <c r="B208" s="426"/>
      <c r="C208" s="1006"/>
      <c r="D208" s="1430"/>
      <c r="E208" s="1431" t="s">
        <v>472</v>
      </c>
      <c r="F208" s="1432"/>
      <c r="G208" s="1433"/>
      <c r="H208" s="1434"/>
      <c r="I208" s="1434"/>
      <c r="J208" s="1434"/>
      <c r="K208" s="1434"/>
      <c r="L208" s="1435"/>
      <c r="M208" s="1434"/>
      <c r="N208" s="1434"/>
      <c r="O208" s="1436"/>
      <c r="P208" s="1436"/>
      <c r="Q208" s="1434"/>
      <c r="R208" s="411">
        <v>0</v>
      </c>
      <c r="S208" s="411">
        <v>12100000</v>
      </c>
      <c r="T208" s="412">
        <f>R208-S208</f>
        <v>-12100000</v>
      </c>
      <c r="U208" s="413">
        <f t="shared" si="23"/>
        <v>-1</v>
      </c>
    </row>
    <row r="209" spans="22:22" ht="15" customHeight="1"/>
    <row r="210" spans="22:22" ht="15" customHeight="1"/>
    <row r="211" spans="22:22" ht="15" customHeight="1"/>
    <row r="212" spans="22:22" ht="15" customHeight="1"/>
    <row r="213" spans="22:22" ht="15" customHeight="1"/>
    <row r="214" spans="22:22" ht="15" customHeight="1">
      <c r="V214" s="1031"/>
    </row>
    <row r="215" spans="22:22" ht="15" customHeight="1"/>
  </sheetData>
  <mergeCells count="16">
    <mergeCell ref="I53:J53"/>
    <mergeCell ref="K70:L70"/>
    <mergeCell ref="I44:J44"/>
    <mergeCell ref="I48:J48"/>
    <mergeCell ref="I49:J49"/>
    <mergeCell ref="I50:J50"/>
    <mergeCell ref="I51:J51"/>
    <mergeCell ref="I52:J52"/>
    <mergeCell ref="A1:U1"/>
    <mergeCell ref="T2:U2"/>
    <mergeCell ref="A3:E3"/>
    <mergeCell ref="G3:Q4"/>
    <mergeCell ref="R3:R4"/>
    <mergeCell ref="S3:S4"/>
    <mergeCell ref="T3:T4"/>
    <mergeCell ref="U3:U4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scale="74" firstPageNumber="62" fitToHeight="0" orientation="landscape" useFirstPageNumber="1" horizontalDpi="4294967293" r:id="rId1"/>
  <headerFooter scaleWithDoc="0" alignWithMargins="0">
    <oddFooter>&amp;C&amp;P</oddFooter>
  </headerFooter>
  <rowBreaks count="4" manualBreakCount="4">
    <brk id="35" max="19" man="1"/>
    <brk id="70" max="19" man="1"/>
    <brk id="104" max="19" man="1"/>
    <brk id="182" max="19" man="1"/>
  </rowBreaks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3399FF"/>
    <pageSetUpPr fitToPage="1"/>
  </sheetPr>
  <dimension ref="A1:AB278"/>
  <sheetViews>
    <sheetView view="pageBreakPreview" zoomScale="85" zoomScaleNormal="85" zoomScaleSheetLayoutView="85" workbookViewId="0">
      <pane ySplit="7" topLeftCell="A122" activePane="bottomLeft" state="frozen"/>
      <selection activeCell="V20" sqref="V20"/>
      <selection pane="bottomLeft" activeCell="V20" sqref="V20"/>
    </sheetView>
  </sheetViews>
  <sheetFormatPr defaultColWidth="9" defaultRowHeight="13.5"/>
  <cols>
    <col min="1" max="1" width="3.625" style="196" customWidth="1"/>
    <col min="2" max="4" width="3.625" style="193" customWidth="1"/>
    <col min="5" max="5" width="10.625" style="193" customWidth="1"/>
    <col min="6" max="6" width="31.375" style="194" customWidth="1"/>
    <col min="7" max="7" width="12.5" style="195" bestFit="1" customWidth="1"/>
    <col min="8" max="8" width="2.125" style="196" customWidth="1"/>
    <col min="9" max="9" width="8.5" style="196" bestFit="1" customWidth="1"/>
    <col min="10" max="10" width="2.125" style="196" customWidth="1"/>
    <col min="11" max="11" width="5.875" style="196" customWidth="1"/>
    <col min="12" max="12" width="2.625" style="197" customWidth="1"/>
    <col min="13" max="13" width="5.375" style="196" customWidth="1"/>
    <col min="14" max="14" width="2.75" style="198" customWidth="1"/>
    <col min="15" max="15" width="2.625" style="198" customWidth="1"/>
    <col min="16" max="16" width="13.625" style="196" customWidth="1"/>
    <col min="17" max="17" width="10.625" style="199" customWidth="1"/>
    <col min="18" max="19" width="10.625" style="200" customWidth="1"/>
    <col min="20" max="20" width="10.625" style="289" customWidth="1"/>
    <col min="21" max="22" width="10.25" style="196" bestFit="1" customWidth="1"/>
    <col min="23" max="23" width="11.875" style="196" bestFit="1" customWidth="1"/>
    <col min="24" max="24" width="12.25" style="196" customWidth="1"/>
    <col min="25" max="25" width="9" style="196"/>
    <col min="26" max="26" width="10.875" style="196" bestFit="1" customWidth="1"/>
    <col min="27" max="27" width="9" style="196"/>
    <col min="28" max="28" width="10" style="196" bestFit="1" customWidth="1"/>
    <col min="29" max="16384" width="9" style="196"/>
  </cols>
  <sheetData>
    <row r="1" spans="1:25" s="192" customFormat="1" ht="35.1" customHeight="1">
      <c r="A1" s="1968" t="s">
        <v>1690</v>
      </c>
      <c r="B1" s="1968"/>
      <c r="C1" s="1968"/>
      <c r="D1" s="1968"/>
      <c r="E1" s="1968"/>
      <c r="F1" s="1968"/>
      <c r="G1" s="1968"/>
      <c r="H1" s="1968"/>
      <c r="I1" s="1968"/>
      <c r="J1" s="1968"/>
      <c r="K1" s="1968"/>
      <c r="L1" s="1968"/>
      <c r="M1" s="1968"/>
      <c r="N1" s="1968"/>
      <c r="O1" s="1968"/>
      <c r="P1" s="1968"/>
      <c r="Q1" s="1968"/>
      <c r="R1" s="1968"/>
      <c r="S1" s="1968"/>
      <c r="T1" s="1968"/>
    </row>
    <row r="2" spans="1:25" ht="14.25" customHeight="1" thickBot="1">
      <c r="A2" s="192" t="s">
        <v>1691</v>
      </c>
      <c r="S2" s="1969" t="s">
        <v>1692</v>
      </c>
      <c r="T2" s="1969"/>
    </row>
    <row r="3" spans="1:25" s="201" customFormat="1" ht="14.45" customHeight="1">
      <c r="A3" s="1990" t="s">
        <v>91</v>
      </c>
      <c r="B3" s="1939"/>
      <c r="C3" s="1939"/>
      <c r="D3" s="1939"/>
      <c r="E3" s="1939"/>
      <c r="F3" s="1753"/>
      <c r="G3" s="1940" t="s">
        <v>92</v>
      </c>
      <c r="H3" s="1940"/>
      <c r="I3" s="1940"/>
      <c r="J3" s="1940"/>
      <c r="K3" s="1940"/>
      <c r="L3" s="1940"/>
      <c r="M3" s="1940"/>
      <c r="N3" s="1940"/>
      <c r="O3" s="1940"/>
      <c r="P3" s="1941"/>
      <c r="Q3" s="1944" t="s">
        <v>93</v>
      </c>
      <c r="R3" s="1946" t="s">
        <v>94</v>
      </c>
      <c r="S3" s="1948" t="s">
        <v>95</v>
      </c>
      <c r="T3" s="1950" t="s">
        <v>96</v>
      </c>
    </row>
    <row r="4" spans="1:25" s="201" customFormat="1" ht="14.45" customHeight="1" thickBot="1">
      <c r="A4" s="1742" t="s">
        <v>97</v>
      </c>
      <c r="B4" s="1743" t="s">
        <v>98</v>
      </c>
      <c r="C4" s="1743" t="s">
        <v>99</v>
      </c>
      <c r="D4" s="1743" t="s">
        <v>100</v>
      </c>
      <c r="E4" s="1743" t="s">
        <v>101</v>
      </c>
      <c r="F4" s="1754" t="s">
        <v>102</v>
      </c>
      <c r="G4" s="1942"/>
      <c r="H4" s="1942"/>
      <c r="I4" s="1942"/>
      <c r="J4" s="1942"/>
      <c r="K4" s="1942"/>
      <c r="L4" s="1942"/>
      <c r="M4" s="1942"/>
      <c r="N4" s="1942"/>
      <c r="O4" s="1942"/>
      <c r="P4" s="1943"/>
      <c r="Q4" s="1945"/>
      <c r="R4" s="1947"/>
      <c r="S4" s="1949"/>
      <c r="T4" s="1951"/>
    </row>
    <row r="5" spans="1:25" s="192" customFormat="1" ht="14.45" customHeight="1" thickBot="1">
      <c r="A5" s="923" t="s">
        <v>1693</v>
      </c>
      <c r="B5" s="69"/>
      <c r="C5" s="69"/>
      <c r="D5" s="69"/>
      <c r="E5" s="69"/>
      <c r="F5" s="70"/>
      <c r="G5" s="71"/>
      <c r="H5" s="72"/>
      <c r="I5" s="72"/>
      <c r="J5" s="72"/>
      <c r="K5" s="72"/>
      <c r="L5" s="73"/>
      <c r="M5" s="72"/>
      <c r="N5" s="74"/>
      <c r="O5" s="74"/>
      <c r="P5" s="72"/>
      <c r="Q5" s="75">
        <f>Q6</f>
        <v>343038000</v>
      </c>
      <c r="R5" s="75">
        <f>R6</f>
        <v>261170000</v>
      </c>
      <c r="S5" s="76">
        <f>Q5-R5</f>
        <v>81868000</v>
      </c>
      <c r="T5" s="77">
        <f t="shared" ref="T5:T8" si="0">S5/R5</f>
        <v>0.31346632461615043</v>
      </c>
      <c r="W5" s="192">
        <v>343038000</v>
      </c>
      <c r="Y5" s="989">
        <f>Q5-W5</f>
        <v>0</v>
      </c>
    </row>
    <row r="6" spans="1:25" s="192" customFormat="1" ht="14.45" customHeight="1">
      <c r="A6" s="204"/>
      <c r="B6" s="205" t="s">
        <v>1694</v>
      </c>
      <c r="C6" s="206"/>
      <c r="D6" s="206"/>
      <c r="E6" s="206"/>
      <c r="F6" s="207"/>
      <c r="G6" s="208"/>
      <c r="H6" s="209"/>
      <c r="I6" s="209"/>
      <c r="J6" s="209"/>
      <c r="K6" s="209"/>
      <c r="L6" s="581"/>
      <c r="M6" s="209"/>
      <c r="N6" s="210"/>
      <c r="O6" s="210"/>
      <c r="P6" s="209"/>
      <c r="Q6" s="211">
        <f>SUM(Q7,Q71,Q166,Q268,Q275)</f>
        <v>343038000</v>
      </c>
      <c r="R6" s="211">
        <f>SUM(R7,R71,R166,R268,R275)</f>
        <v>261170000</v>
      </c>
      <c r="S6" s="211">
        <f>Q6-R6</f>
        <v>81868000</v>
      </c>
      <c r="T6" s="212">
        <f t="shared" si="0"/>
        <v>0.31346632461615043</v>
      </c>
    </row>
    <row r="7" spans="1:25" s="192" customFormat="1" ht="14.45" customHeight="1">
      <c r="A7" s="204"/>
      <c r="B7" s="213"/>
      <c r="C7" s="214" t="s">
        <v>1695</v>
      </c>
      <c r="D7" s="214"/>
      <c r="E7" s="214"/>
      <c r="F7" s="215"/>
      <c r="G7" s="216"/>
      <c r="H7" s="217"/>
      <c r="I7" s="217"/>
      <c r="J7" s="217"/>
      <c r="K7" s="217"/>
      <c r="L7" s="218"/>
      <c r="M7" s="217"/>
      <c r="N7" s="219"/>
      <c r="O7" s="219"/>
      <c r="P7" s="217"/>
      <c r="Q7" s="220">
        <f>SUM(Q8,Q40)</f>
        <v>167888000</v>
      </c>
      <c r="R7" s="220">
        <f>SUM(R8,R40)</f>
        <v>141705000</v>
      </c>
      <c r="S7" s="220">
        <f>Q7-R7</f>
        <v>26183000</v>
      </c>
      <c r="T7" s="221">
        <f t="shared" si="0"/>
        <v>0.18477117956317701</v>
      </c>
    </row>
    <row r="8" spans="1:25" s="192" customFormat="1" ht="14.45" customHeight="1">
      <c r="A8" s="204"/>
      <c r="B8" s="222"/>
      <c r="C8" s="223"/>
      <c r="D8" s="83" t="s">
        <v>1696</v>
      </c>
      <c r="E8" s="84"/>
      <c r="F8" s="85"/>
      <c r="G8" s="86"/>
      <c r="H8" s="84"/>
      <c r="I8" s="84"/>
      <c r="J8" s="84"/>
      <c r="K8" s="84"/>
      <c r="L8" s="83"/>
      <c r="M8" s="84"/>
      <c r="N8" s="87"/>
      <c r="O8" s="87"/>
      <c r="P8" s="84"/>
      <c r="Q8" s="76">
        <f>Q9+Q12+Q34++Q37</f>
        <v>133061000</v>
      </c>
      <c r="R8" s="76">
        <f>R9+R12+R34+R37</f>
        <v>115502000</v>
      </c>
      <c r="S8" s="76">
        <f>Q8-R8</f>
        <v>17559000</v>
      </c>
      <c r="T8" s="77">
        <f t="shared" si="0"/>
        <v>0.15202334158715866</v>
      </c>
      <c r="V8" s="989"/>
    </row>
    <row r="9" spans="1:25" ht="14.45" customHeight="1">
      <c r="A9" s="224"/>
      <c r="B9" s="225"/>
      <c r="C9" s="226"/>
      <c r="D9" s="225"/>
      <c r="E9" s="66" t="s">
        <v>1697</v>
      </c>
      <c r="F9" s="227"/>
      <c r="G9" s="228"/>
      <c r="H9" s="66"/>
      <c r="I9" s="66"/>
      <c r="J9" s="66"/>
      <c r="K9" s="66"/>
      <c r="L9" s="229"/>
      <c r="M9" s="66"/>
      <c r="N9" s="230"/>
      <c r="O9" s="230"/>
      <c r="P9" s="66"/>
      <c r="Q9" s="171">
        <f>SUM(P10)</f>
        <v>63288000</v>
      </c>
      <c r="R9" s="171">
        <v>52770000</v>
      </c>
      <c r="S9" s="171">
        <f>Q9-R9</f>
        <v>10518000</v>
      </c>
      <c r="T9" s="172">
        <f>S9/R9</f>
        <v>0.1993177942012507</v>
      </c>
    </row>
    <row r="10" spans="1:25" ht="14.45" customHeight="1">
      <c r="A10" s="224"/>
      <c r="B10" s="225"/>
      <c r="C10" s="226"/>
      <c r="D10" s="225"/>
      <c r="E10" s="226"/>
      <c r="F10" s="231" t="s">
        <v>1698</v>
      </c>
      <c r="G10" s="232"/>
      <c r="H10" s="226"/>
      <c r="I10" s="226"/>
      <c r="J10" s="226"/>
      <c r="K10" s="226"/>
      <c r="L10" s="1386"/>
      <c r="M10" s="226"/>
      <c r="N10" s="233"/>
      <c r="O10" s="233"/>
      <c r="P10" s="234">
        <f>SUM(P11:P11)</f>
        <v>63288000</v>
      </c>
      <c r="Q10" s="101"/>
      <c r="R10" s="101"/>
      <c r="S10" s="101"/>
      <c r="T10" s="102"/>
    </row>
    <row r="11" spans="1:25" ht="14.45" customHeight="1">
      <c r="A11" s="224"/>
      <c r="B11" s="225"/>
      <c r="C11" s="226"/>
      <c r="D11" s="225"/>
      <c r="E11" s="247"/>
      <c r="F11" s="248" t="s">
        <v>1699</v>
      </c>
      <c r="G11" s="239">
        <v>1758000</v>
      </c>
      <c r="H11" s="240" t="s">
        <v>1700</v>
      </c>
      <c r="I11" s="241">
        <v>3</v>
      </c>
      <c r="J11" s="240" t="s">
        <v>109</v>
      </c>
      <c r="K11" s="242">
        <v>12</v>
      </c>
      <c r="L11" s="243"/>
      <c r="M11" s="242"/>
      <c r="N11" s="244"/>
      <c r="O11" s="244" t="s">
        <v>1701</v>
      </c>
      <c r="P11" s="245">
        <f>ROUNDUP(G11*I11*K11,-3)</f>
        <v>63288000</v>
      </c>
      <c r="Q11" s="235"/>
      <c r="R11" s="997"/>
      <c r="S11" s="235"/>
      <c r="T11" s="246"/>
      <c r="V11" s="236">
        <f>R9+R12</f>
        <v>79883000</v>
      </c>
    </row>
    <row r="12" spans="1:25" ht="14.45" customHeight="1">
      <c r="A12" s="224"/>
      <c r="B12" s="225"/>
      <c r="C12" s="226"/>
      <c r="D12" s="225"/>
      <c r="E12" s="66" t="s">
        <v>1702</v>
      </c>
      <c r="F12" s="227"/>
      <c r="G12" s="228"/>
      <c r="H12" s="66"/>
      <c r="I12" s="66"/>
      <c r="J12" s="66"/>
      <c r="K12" s="66"/>
      <c r="L12" s="229"/>
      <c r="M12" s="66"/>
      <c r="N12" s="230"/>
      <c r="O12" s="230"/>
      <c r="P12" s="66"/>
      <c r="Q12" s="171">
        <f>SUM(P13,P15,P18,P20,P22,P24,P30,P32,P26)</f>
        <v>36737000</v>
      </c>
      <c r="R12" s="171">
        <v>27113000</v>
      </c>
      <c r="S12" s="171">
        <f>Q12-R12</f>
        <v>9624000</v>
      </c>
      <c r="T12" s="172">
        <v>1</v>
      </c>
    </row>
    <row r="13" spans="1:25" ht="14.45" customHeight="1">
      <c r="A13" s="224"/>
      <c r="B13" s="225"/>
      <c r="C13" s="226"/>
      <c r="D13" s="225"/>
      <c r="E13" s="226"/>
      <c r="F13" s="231" t="s">
        <v>1703</v>
      </c>
      <c r="G13" s="1387"/>
      <c r="H13" s="1168"/>
      <c r="I13" s="1168"/>
      <c r="J13" s="1168"/>
      <c r="K13" s="1168"/>
      <c r="L13" s="1389"/>
      <c r="M13" s="1168"/>
      <c r="N13" s="1171"/>
      <c r="O13" s="1171"/>
      <c r="P13" s="1390">
        <f>SUM(P14:P14)</f>
        <v>4500000</v>
      </c>
      <c r="Q13" s="119"/>
      <c r="R13" s="119"/>
      <c r="S13" s="119"/>
      <c r="T13" s="120"/>
    </row>
    <row r="14" spans="1:25" ht="14.45" customHeight="1">
      <c r="A14" s="224"/>
      <c r="B14" s="225"/>
      <c r="C14" s="226"/>
      <c r="D14" s="225"/>
      <c r="E14" s="247"/>
      <c r="F14" s="248" t="s">
        <v>1699</v>
      </c>
      <c r="G14" s="252">
        <v>125000</v>
      </c>
      <c r="H14" s="240" t="s">
        <v>1700</v>
      </c>
      <c r="I14" s="241">
        <v>3</v>
      </c>
      <c r="J14" s="240" t="s">
        <v>109</v>
      </c>
      <c r="K14" s="242">
        <v>12</v>
      </c>
      <c r="L14" s="243"/>
      <c r="M14" s="242"/>
      <c r="N14" s="244"/>
      <c r="O14" s="244" t="s">
        <v>1701</v>
      </c>
      <c r="P14" s="245">
        <f>ROUNDUP(G14*I14*K14,-3)</f>
        <v>4500000</v>
      </c>
      <c r="Q14" s="235"/>
      <c r="R14" s="997"/>
      <c r="S14" s="235"/>
      <c r="T14" s="246"/>
      <c r="W14" s="236"/>
      <c r="X14" s="196">
        <v>2017</v>
      </c>
      <c r="Y14" s="196">
        <v>2018</v>
      </c>
    </row>
    <row r="15" spans="1:25" ht="14.45" customHeight="1">
      <c r="A15" s="224"/>
      <c r="B15" s="225"/>
      <c r="C15" s="226"/>
      <c r="D15" s="225"/>
      <c r="E15" s="237"/>
      <c r="F15" s="231" t="s">
        <v>1704</v>
      </c>
      <c r="G15" s="249"/>
      <c r="H15" s="240"/>
      <c r="I15" s="240"/>
      <c r="J15" s="240"/>
      <c r="K15" s="240"/>
      <c r="L15" s="250"/>
      <c r="M15" s="240"/>
      <c r="N15" s="244"/>
      <c r="O15" s="244"/>
      <c r="P15" s="251">
        <f>SUM(P16:P17)</f>
        <v>480000</v>
      </c>
      <c r="Q15" s="235"/>
      <c r="R15" s="997"/>
      <c r="S15" s="235"/>
      <c r="T15" s="246"/>
      <c r="V15" s="196" t="s">
        <v>2340</v>
      </c>
      <c r="W15" s="236">
        <f>Q8</f>
        <v>133061000</v>
      </c>
      <c r="X15" s="236">
        <f>R8</f>
        <v>115502000</v>
      </c>
    </row>
    <row r="16" spans="1:25" ht="14.45" customHeight="1">
      <c r="A16" s="224"/>
      <c r="B16" s="225"/>
      <c r="C16" s="226"/>
      <c r="D16" s="225"/>
      <c r="E16" s="247"/>
      <c r="F16" s="248" t="s">
        <v>643</v>
      </c>
      <c r="G16" s="252">
        <v>40000</v>
      </c>
      <c r="H16" s="240" t="s">
        <v>1700</v>
      </c>
      <c r="I16" s="241">
        <v>1</v>
      </c>
      <c r="J16" s="240" t="s">
        <v>109</v>
      </c>
      <c r="K16" s="242">
        <v>12</v>
      </c>
      <c r="L16" s="243"/>
      <c r="M16" s="242"/>
      <c r="N16" s="244"/>
      <c r="O16" s="244" t="s">
        <v>1701</v>
      </c>
      <c r="P16" s="245">
        <f>ROUNDUP(G16*I16*K16,-3)</f>
        <v>480000</v>
      </c>
      <c r="Q16" s="235"/>
      <c r="R16" s="997"/>
      <c r="S16" s="235"/>
      <c r="T16" s="246"/>
      <c r="V16" s="236" t="s">
        <v>2341</v>
      </c>
      <c r="W16" s="236">
        <f>Q40</f>
        <v>34827000</v>
      </c>
      <c r="X16" s="236">
        <f>R40</f>
        <v>26203000</v>
      </c>
    </row>
    <row r="17" spans="1:24" ht="14.45" hidden="1" customHeight="1">
      <c r="A17" s="224"/>
      <c r="B17" s="225"/>
      <c r="C17" s="226"/>
      <c r="D17" s="225"/>
      <c r="E17" s="247"/>
      <c r="F17" s="248" t="s">
        <v>1705</v>
      </c>
      <c r="G17" s="252"/>
      <c r="H17" s="240" t="s">
        <v>1700</v>
      </c>
      <c r="I17" s="241"/>
      <c r="J17" s="240" t="s">
        <v>109</v>
      </c>
      <c r="K17" s="242"/>
      <c r="L17" s="243"/>
      <c r="M17" s="242"/>
      <c r="N17" s="244"/>
      <c r="O17" s="244" t="s">
        <v>1701</v>
      </c>
      <c r="P17" s="245">
        <f>ROUNDUP(G17*I17*K17,-3)</f>
        <v>0</v>
      </c>
      <c r="Q17" s="235"/>
      <c r="R17" s="997"/>
      <c r="S17" s="235"/>
      <c r="T17" s="246"/>
    </row>
    <row r="18" spans="1:24" ht="14.45" customHeight="1">
      <c r="A18" s="224"/>
      <c r="B18" s="225"/>
      <c r="C18" s="226"/>
      <c r="D18" s="225"/>
      <c r="E18" s="237"/>
      <c r="F18" s="231" t="s">
        <v>1706</v>
      </c>
      <c r="G18" s="249"/>
      <c r="H18" s="240"/>
      <c r="I18" s="240"/>
      <c r="J18" s="240"/>
      <c r="K18" s="240"/>
      <c r="L18" s="250"/>
      <c r="M18" s="240"/>
      <c r="N18" s="244"/>
      <c r="O18" s="244"/>
      <c r="P18" s="251">
        <f>SUM(P19:P19)</f>
        <v>4680000</v>
      </c>
      <c r="Q18" s="235"/>
      <c r="R18" s="997"/>
      <c r="S18" s="235"/>
      <c r="T18" s="246"/>
      <c r="V18" s="196" t="s">
        <v>2342</v>
      </c>
      <c r="W18" s="236">
        <f>Q71</f>
        <v>48200000</v>
      </c>
      <c r="X18" s="236">
        <f>R71</f>
        <v>10545000</v>
      </c>
    </row>
    <row r="19" spans="1:24" ht="14.45" customHeight="1">
      <c r="A19" s="224"/>
      <c r="B19" s="225"/>
      <c r="C19" s="226"/>
      <c r="D19" s="225"/>
      <c r="E19" s="247"/>
      <c r="F19" s="238" t="s">
        <v>1707</v>
      </c>
      <c r="G19" s="252">
        <v>130000</v>
      </c>
      <c r="H19" s="240" t="s">
        <v>1700</v>
      </c>
      <c r="I19" s="241">
        <v>3</v>
      </c>
      <c r="J19" s="240" t="s">
        <v>109</v>
      </c>
      <c r="K19" s="242">
        <v>12</v>
      </c>
      <c r="L19" s="243"/>
      <c r="M19" s="242"/>
      <c r="N19" s="244"/>
      <c r="O19" s="244" t="s">
        <v>347</v>
      </c>
      <c r="P19" s="245">
        <f>ROUNDUP(G19*I19*K19,-3)</f>
        <v>4680000</v>
      </c>
      <c r="Q19" s="235"/>
      <c r="R19" s="997"/>
      <c r="S19" s="235"/>
      <c r="T19" s="246"/>
      <c r="W19" s="275">
        <f>SUM(W15:W18)</f>
        <v>216088000</v>
      </c>
      <c r="X19" s="275">
        <f>SUM(X15:X18)</f>
        <v>152250000</v>
      </c>
    </row>
    <row r="20" spans="1:24" ht="14.45" customHeight="1">
      <c r="A20" s="224"/>
      <c r="B20" s="225"/>
      <c r="C20" s="226"/>
      <c r="D20" s="225"/>
      <c r="E20" s="237"/>
      <c r="F20" s="231" t="s">
        <v>1708</v>
      </c>
      <c r="G20" s="249"/>
      <c r="H20" s="240"/>
      <c r="I20" s="240"/>
      <c r="J20" s="240"/>
      <c r="K20" s="240"/>
      <c r="L20" s="250"/>
      <c r="M20" s="240"/>
      <c r="N20" s="244"/>
      <c r="O20" s="244"/>
      <c r="P20" s="251">
        <f>SUM(P21:P21)</f>
        <v>1080000</v>
      </c>
      <c r="Q20" s="235"/>
      <c r="R20" s="997"/>
      <c r="S20" s="235"/>
      <c r="T20" s="246"/>
    </row>
    <row r="21" spans="1:24" ht="14.45" customHeight="1">
      <c r="A21" s="224"/>
      <c r="B21" s="225"/>
      <c r="C21" s="226"/>
      <c r="D21" s="225"/>
      <c r="E21" s="247"/>
      <c r="F21" s="238" t="s">
        <v>1709</v>
      </c>
      <c r="G21" s="252">
        <v>30000</v>
      </c>
      <c r="H21" s="240" t="s">
        <v>1700</v>
      </c>
      <c r="I21" s="241">
        <v>3</v>
      </c>
      <c r="J21" s="240" t="s">
        <v>109</v>
      </c>
      <c r="K21" s="242">
        <v>12</v>
      </c>
      <c r="L21" s="243"/>
      <c r="M21" s="242"/>
      <c r="N21" s="244"/>
      <c r="O21" s="244" t="s">
        <v>1701</v>
      </c>
      <c r="P21" s="245">
        <f>ROUNDUP(G21*I21*K21,-3)</f>
        <v>1080000</v>
      </c>
      <c r="Q21" s="235"/>
      <c r="R21" s="997"/>
      <c r="S21" s="235"/>
      <c r="T21" s="246"/>
    </row>
    <row r="22" spans="1:24" ht="14.45" customHeight="1">
      <c r="A22" s="224"/>
      <c r="B22" s="225"/>
      <c r="C22" s="226"/>
      <c r="D22" s="225"/>
      <c r="E22" s="226"/>
      <c r="F22" s="231" t="s">
        <v>1710</v>
      </c>
      <c r="G22" s="249"/>
      <c r="H22" s="240"/>
      <c r="I22" s="240"/>
      <c r="J22" s="240"/>
      <c r="K22" s="240"/>
      <c r="L22" s="250"/>
      <c r="M22" s="240"/>
      <c r="N22" s="244"/>
      <c r="O22" s="244"/>
      <c r="P22" s="251">
        <f>SUM(P23:P23)</f>
        <v>16449000</v>
      </c>
      <c r="Q22" s="235"/>
      <c r="R22" s="997"/>
      <c r="S22" s="235"/>
      <c r="T22" s="246"/>
    </row>
    <row r="23" spans="1:24" ht="14.45" customHeight="1">
      <c r="A23" s="224"/>
      <c r="B23" s="225"/>
      <c r="C23" s="226"/>
      <c r="D23" s="225"/>
      <c r="E23" s="237"/>
      <c r="F23" s="238" t="s">
        <v>1711</v>
      </c>
      <c r="G23" s="252">
        <v>456900</v>
      </c>
      <c r="H23" s="240" t="s">
        <v>1700</v>
      </c>
      <c r="I23" s="241">
        <v>3</v>
      </c>
      <c r="J23" s="240" t="s">
        <v>109</v>
      </c>
      <c r="K23" s="242">
        <v>12</v>
      </c>
      <c r="L23" s="250"/>
      <c r="M23" s="254"/>
      <c r="N23" s="244"/>
      <c r="O23" s="244" t="s">
        <v>1701</v>
      </c>
      <c r="P23" s="245">
        <f>ROUNDUP(G23*I23*K23,-3)</f>
        <v>16449000</v>
      </c>
      <c r="Q23" s="235"/>
      <c r="R23" s="997"/>
      <c r="S23" s="235"/>
      <c r="T23" s="246"/>
    </row>
    <row r="24" spans="1:24" ht="14.45" customHeight="1">
      <c r="A24" s="224"/>
      <c r="B24" s="225"/>
      <c r="C24" s="226"/>
      <c r="D24" s="225"/>
      <c r="E24" s="237"/>
      <c r="F24" s="231" t="s">
        <v>1712</v>
      </c>
      <c r="G24" s="1393"/>
      <c r="H24" s="240"/>
      <c r="I24" s="240"/>
      <c r="J24" s="240"/>
      <c r="K24" s="240"/>
      <c r="L24" s="250"/>
      <c r="M24" s="240"/>
      <c r="N24" s="244"/>
      <c r="O24" s="244"/>
      <c r="P24" s="251">
        <f>SUM(P25:P25)</f>
        <v>2212000</v>
      </c>
      <c r="Q24" s="235"/>
      <c r="R24" s="997"/>
      <c r="S24" s="235"/>
      <c r="T24" s="246"/>
    </row>
    <row r="25" spans="1:24" ht="14.45" customHeight="1">
      <c r="A25" s="224"/>
      <c r="B25" s="225"/>
      <c r="C25" s="226"/>
      <c r="D25" s="225"/>
      <c r="E25" s="247"/>
      <c r="F25" s="248" t="s">
        <v>1699</v>
      </c>
      <c r="G25" s="252">
        <v>368600</v>
      </c>
      <c r="H25" s="240" t="s">
        <v>1700</v>
      </c>
      <c r="I25" s="241">
        <v>3</v>
      </c>
      <c r="J25" s="240" t="s">
        <v>109</v>
      </c>
      <c r="K25" s="242">
        <v>2</v>
      </c>
      <c r="L25" s="243"/>
      <c r="M25" s="242"/>
      <c r="N25" s="244"/>
      <c r="O25" s="244" t="s">
        <v>1701</v>
      </c>
      <c r="P25" s="245">
        <f>ROUNDUP(G25*I25*K25,-3)</f>
        <v>2212000</v>
      </c>
      <c r="Q25" s="235"/>
      <c r="R25" s="997"/>
      <c r="S25" s="235"/>
      <c r="T25" s="246"/>
    </row>
    <row r="26" spans="1:24" ht="14.45" customHeight="1">
      <c r="A26" s="224"/>
      <c r="B26" s="225"/>
      <c r="C26" s="226"/>
      <c r="D26" s="225"/>
      <c r="E26" s="237"/>
      <c r="F26" s="231" t="s">
        <v>1713</v>
      </c>
      <c r="G26" s="1393"/>
      <c r="H26" s="240"/>
      <c r="I26" s="240"/>
      <c r="J26" s="240"/>
      <c r="K26" s="240"/>
      <c r="L26" s="250"/>
      <c r="M26" s="240"/>
      <c r="N26" s="244"/>
      <c r="O26" s="244"/>
      <c r="P26" s="251">
        <f>SUM(P27:P29)</f>
        <v>600000</v>
      </c>
      <c r="Q26" s="235"/>
      <c r="R26" s="997"/>
      <c r="S26" s="235"/>
      <c r="T26" s="246"/>
    </row>
    <row r="27" spans="1:24" ht="14.45" customHeight="1">
      <c r="A27" s="224"/>
      <c r="B27" s="225"/>
      <c r="C27" s="226"/>
      <c r="D27" s="225"/>
      <c r="E27" s="237"/>
      <c r="F27" s="238" t="s">
        <v>1714</v>
      </c>
      <c r="G27" s="252">
        <v>50000</v>
      </c>
      <c r="H27" s="240" t="s">
        <v>1028</v>
      </c>
      <c r="I27" s="241">
        <v>1</v>
      </c>
      <c r="J27" s="240" t="s">
        <v>109</v>
      </c>
      <c r="K27" s="242">
        <v>12</v>
      </c>
      <c r="L27" s="243"/>
      <c r="M27" s="242"/>
      <c r="N27" s="244"/>
      <c r="O27" s="244" t="s">
        <v>1701</v>
      </c>
      <c r="P27" s="245">
        <f>ROUNDUP(G27*I27*K27,-3)</f>
        <v>600000</v>
      </c>
      <c r="Q27" s="235"/>
      <c r="R27" s="997"/>
      <c r="S27" s="235"/>
      <c r="T27" s="246"/>
    </row>
    <row r="28" spans="1:24" ht="14.45" hidden="1" customHeight="1">
      <c r="A28" s="224"/>
      <c r="B28" s="225"/>
      <c r="C28" s="226"/>
      <c r="D28" s="225"/>
      <c r="E28" s="247"/>
      <c r="F28" s="248" t="s">
        <v>1715</v>
      </c>
      <c r="G28" s="252"/>
      <c r="H28" s="240" t="s">
        <v>1028</v>
      </c>
      <c r="I28" s="241"/>
      <c r="J28" s="240" t="s">
        <v>109</v>
      </c>
      <c r="K28" s="242"/>
      <c r="L28" s="243"/>
      <c r="M28" s="242"/>
      <c r="N28" s="244"/>
      <c r="O28" s="244" t="s">
        <v>347</v>
      </c>
      <c r="P28" s="245">
        <f>ROUNDUP(G28*I28*K28,-3)</f>
        <v>0</v>
      </c>
      <c r="Q28" s="235"/>
      <c r="R28" s="997"/>
      <c r="S28" s="235"/>
      <c r="T28" s="246"/>
    </row>
    <row r="29" spans="1:24" ht="14.45" hidden="1" customHeight="1">
      <c r="A29" s="224"/>
      <c r="B29" s="225"/>
      <c r="C29" s="226"/>
      <c r="D29" s="225"/>
      <c r="E29" s="247"/>
      <c r="F29" s="248" t="s">
        <v>1716</v>
      </c>
      <c r="G29" s="252"/>
      <c r="H29" s="240" t="s">
        <v>1700</v>
      </c>
      <c r="I29" s="241"/>
      <c r="J29" s="240" t="s">
        <v>109</v>
      </c>
      <c r="K29" s="242"/>
      <c r="L29" s="243"/>
      <c r="M29" s="242"/>
      <c r="N29" s="244"/>
      <c r="O29" s="244" t="s">
        <v>347</v>
      </c>
      <c r="P29" s="245">
        <f>ROUNDUP(G29*I29*K29,-3)</f>
        <v>0</v>
      </c>
      <c r="Q29" s="235"/>
      <c r="R29" s="997"/>
      <c r="S29" s="235"/>
      <c r="T29" s="246"/>
    </row>
    <row r="30" spans="1:24" ht="14.45" customHeight="1">
      <c r="A30" s="224"/>
      <c r="B30" s="225"/>
      <c r="C30" s="226"/>
      <c r="D30" s="225"/>
      <c r="E30" s="237"/>
      <c r="F30" s="231" t="s">
        <v>1717</v>
      </c>
      <c r="G30" s="249"/>
      <c r="H30" s="240"/>
      <c r="I30" s="240"/>
      <c r="J30" s="240"/>
      <c r="K30" s="240"/>
      <c r="L30" s="250"/>
      <c r="M30" s="240"/>
      <c r="N30" s="244"/>
      <c r="O30" s="244"/>
      <c r="P30" s="251">
        <f>SUM(P31:P31)</f>
        <v>6291000</v>
      </c>
      <c r="Q30" s="235"/>
      <c r="R30" s="997"/>
      <c r="S30" s="235"/>
      <c r="T30" s="246"/>
    </row>
    <row r="31" spans="1:24" ht="14.45" customHeight="1">
      <c r="A31" s="224"/>
      <c r="B31" s="225"/>
      <c r="C31" s="226"/>
      <c r="D31" s="225"/>
      <c r="E31" s="247"/>
      <c r="F31" s="248" t="s">
        <v>1718</v>
      </c>
      <c r="G31" s="252">
        <v>1048500</v>
      </c>
      <c r="H31" s="240" t="s">
        <v>1700</v>
      </c>
      <c r="I31" s="241">
        <v>3</v>
      </c>
      <c r="J31" s="240" t="s">
        <v>109</v>
      </c>
      <c r="K31" s="242">
        <v>2</v>
      </c>
      <c r="L31" s="243"/>
      <c r="M31" s="242"/>
      <c r="N31" s="244"/>
      <c r="O31" s="244" t="s">
        <v>347</v>
      </c>
      <c r="P31" s="245">
        <f>ROUNDUP(G31*I31*K31,-3)</f>
        <v>6291000</v>
      </c>
      <c r="Q31" s="235"/>
      <c r="R31" s="997"/>
      <c r="S31" s="235"/>
      <c r="T31" s="246"/>
    </row>
    <row r="32" spans="1:24" ht="14.45" customHeight="1">
      <c r="A32" s="224"/>
      <c r="B32" s="225"/>
      <c r="C32" s="226"/>
      <c r="D32" s="225"/>
      <c r="E32" s="237"/>
      <c r="F32" s="231" t="s">
        <v>1719</v>
      </c>
      <c r="G32" s="249"/>
      <c r="H32" s="240"/>
      <c r="I32" s="240"/>
      <c r="J32" s="240"/>
      <c r="K32" s="240"/>
      <c r="L32" s="250"/>
      <c r="M32" s="240"/>
      <c r="N32" s="244"/>
      <c r="O32" s="244"/>
      <c r="P32" s="251">
        <f>SUM(P33:P33)</f>
        <v>445000</v>
      </c>
      <c r="Q32" s="235"/>
      <c r="R32" s="997"/>
      <c r="S32" s="235"/>
      <c r="T32" s="246"/>
    </row>
    <row r="33" spans="1:26" ht="14.45" customHeight="1">
      <c r="A33" s="224"/>
      <c r="B33" s="225"/>
      <c r="C33" s="226"/>
      <c r="D33" s="225"/>
      <c r="E33" s="237"/>
      <c r="F33" s="238" t="s">
        <v>1720</v>
      </c>
      <c r="G33" s="252">
        <v>88970</v>
      </c>
      <c r="H33" s="240" t="s">
        <v>1700</v>
      </c>
      <c r="I33" s="241">
        <v>1</v>
      </c>
      <c r="J33" s="240" t="s">
        <v>109</v>
      </c>
      <c r="K33" s="1122">
        <v>5</v>
      </c>
      <c r="L33" s="250"/>
      <c r="M33" s="254"/>
      <c r="N33" s="244"/>
      <c r="O33" s="244" t="s">
        <v>1701</v>
      </c>
      <c r="P33" s="245">
        <f>ROUNDUP(G33*I33*K33,-3)</f>
        <v>445000</v>
      </c>
      <c r="Q33" s="235"/>
      <c r="R33" s="997"/>
      <c r="S33" s="235"/>
      <c r="T33" s="246"/>
    </row>
    <row r="34" spans="1:26" ht="14.45" customHeight="1">
      <c r="A34" s="224"/>
      <c r="B34" s="225"/>
      <c r="C34" s="226"/>
      <c r="D34" s="225"/>
      <c r="E34" s="255" t="s">
        <v>1721</v>
      </c>
      <c r="F34" s="227"/>
      <c r="G34" s="228"/>
      <c r="H34" s="66"/>
      <c r="I34" s="66"/>
      <c r="J34" s="66"/>
      <c r="K34" s="66"/>
      <c r="L34" s="229"/>
      <c r="M34" s="66"/>
      <c r="N34" s="230"/>
      <c r="O34" s="230"/>
      <c r="P34" s="66"/>
      <c r="Q34" s="171">
        <f>SUM(P35)</f>
        <v>24700000</v>
      </c>
      <c r="R34" s="171">
        <v>28963000</v>
      </c>
      <c r="S34" s="171">
        <f>Q34-R34</f>
        <v>-4263000</v>
      </c>
      <c r="T34" s="172">
        <f t="shared" ref="T34" si="1">S34/R34</f>
        <v>-0.14718779131995996</v>
      </c>
    </row>
    <row r="35" spans="1:26" ht="14.45" customHeight="1">
      <c r="A35" s="224"/>
      <c r="B35" s="225"/>
      <c r="C35" s="226"/>
      <c r="D35" s="225"/>
      <c r="E35" s="226"/>
      <c r="F35" s="231" t="s">
        <v>1722</v>
      </c>
      <c r="G35" s="249"/>
      <c r="H35" s="240"/>
      <c r="I35" s="240"/>
      <c r="J35" s="240"/>
      <c r="K35" s="240"/>
      <c r="L35" s="250"/>
      <c r="M35" s="240"/>
      <c r="N35" s="244"/>
      <c r="O35" s="244"/>
      <c r="P35" s="251">
        <f>SUM(P36:P36)</f>
        <v>24700000</v>
      </c>
      <c r="Q35" s="235"/>
      <c r="R35" s="997"/>
      <c r="S35" s="235"/>
      <c r="T35" s="246"/>
    </row>
    <row r="36" spans="1:26" ht="14.45" customHeight="1">
      <c r="A36" s="224"/>
      <c r="B36" s="225"/>
      <c r="C36" s="226"/>
      <c r="D36" s="225"/>
      <c r="E36" s="237"/>
      <c r="F36" s="238" t="s">
        <v>1723</v>
      </c>
      <c r="G36" s="252">
        <v>950000</v>
      </c>
      <c r="H36" s="240" t="s">
        <v>1700</v>
      </c>
      <c r="I36" s="241">
        <v>2</v>
      </c>
      <c r="J36" s="240" t="s">
        <v>109</v>
      </c>
      <c r="K36" s="242">
        <v>13</v>
      </c>
      <c r="L36" s="250"/>
      <c r="M36" s="254"/>
      <c r="N36" s="244"/>
      <c r="O36" s="244" t="s">
        <v>347</v>
      </c>
      <c r="P36" s="245">
        <f>ROUNDUP(G36*I36*K36,-3)</f>
        <v>24700000</v>
      </c>
      <c r="Q36" s="235"/>
      <c r="R36" s="997"/>
      <c r="S36" s="235"/>
      <c r="T36" s="246"/>
    </row>
    <row r="37" spans="1:26" ht="14.45" customHeight="1">
      <c r="A37" s="224"/>
      <c r="B37" s="225"/>
      <c r="C37" s="226"/>
      <c r="D37" s="225"/>
      <c r="E37" s="255" t="s">
        <v>1724</v>
      </c>
      <c r="F37" s="227"/>
      <c r="G37" s="228"/>
      <c r="H37" s="66"/>
      <c r="I37" s="66"/>
      <c r="J37" s="66"/>
      <c r="K37" s="66"/>
      <c r="L37" s="229"/>
      <c r="M37" s="66"/>
      <c r="N37" s="230"/>
      <c r="O37" s="230"/>
      <c r="P37" s="66"/>
      <c r="Q37" s="171">
        <f>SUM(P38)</f>
        <v>8336000</v>
      </c>
      <c r="R37" s="171">
        <v>6656000</v>
      </c>
      <c r="S37" s="171">
        <f>Q37-R37</f>
        <v>1680000</v>
      </c>
      <c r="T37" s="172">
        <f t="shared" ref="T37:T58" si="2">S37/R37</f>
        <v>0.25240384615384615</v>
      </c>
    </row>
    <row r="38" spans="1:26" ht="14.45" customHeight="1">
      <c r="A38" s="224"/>
      <c r="B38" s="225"/>
      <c r="C38" s="226"/>
      <c r="D38" s="225"/>
      <c r="E38" s="226"/>
      <c r="F38" s="231" t="s">
        <v>1725</v>
      </c>
      <c r="G38" s="249"/>
      <c r="H38" s="240"/>
      <c r="I38" s="240"/>
      <c r="J38" s="240"/>
      <c r="K38" s="240"/>
      <c r="L38" s="250"/>
      <c r="M38" s="240"/>
      <c r="N38" s="244"/>
      <c r="O38" s="244"/>
      <c r="P38" s="251">
        <f>SUM(P39:P39)</f>
        <v>8336000</v>
      </c>
      <c r="Q38" s="235"/>
      <c r="R38" s="997"/>
      <c r="S38" s="235"/>
      <c r="T38" s="246"/>
    </row>
    <row r="39" spans="1:26" ht="14.45" customHeight="1">
      <c r="A39" s="576"/>
      <c r="B39" s="278"/>
      <c r="C39" s="279"/>
      <c r="D39" s="278"/>
      <c r="E39" s="577"/>
      <c r="F39" s="578" t="s">
        <v>1726</v>
      </c>
      <c r="G39" s="579">
        <v>100025000</v>
      </c>
      <c r="H39" s="283" t="s">
        <v>1700</v>
      </c>
      <c r="I39" s="2002">
        <v>12</v>
      </c>
      <c r="J39" s="2002"/>
      <c r="K39" s="284"/>
      <c r="L39" s="1402"/>
      <c r="M39" s="284"/>
      <c r="N39" s="285"/>
      <c r="O39" s="285" t="s">
        <v>1701</v>
      </c>
      <c r="P39" s="286">
        <f>ROUNDUP((G39/12),-3)</f>
        <v>8336000</v>
      </c>
      <c r="Q39" s="287"/>
      <c r="R39" s="1027"/>
      <c r="S39" s="287"/>
      <c r="T39" s="288"/>
    </row>
    <row r="40" spans="1:26" ht="14.45" customHeight="1">
      <c r="A40" s="224"/>
      <c r="B40" s="225"/>
      <c r="C40" s="226"/>
      <c r="D40" s="557" t="s">
        <v>1727</v>
      </c>
      <c r="E40" s="557"/>
      <c r="F40" s="555"/>
      <c r="G40" s="556"/>
      <c r="H40" s="557"/>
      <c r="I40" s="557"/>
      <c r="J40" s="557"/>
      <c r="K40" s="557"/>
      <c r="L40" s="558"/>
      <c r="M40" s="557"/>
      <c r="N40" s="559"/>
      <c r="O40" s="559"/>
      <c r="P40" s="557"/>
      <c r="Q40" s="560">
        <f>SUM(Q41,Q48,Q58,Q61)</f>
        <v>34827000</v>
      </c>
      <c r="R40" s="560">
        <f>SUM(R41:R70)</f>
        <v>26203000</v>
      </c>
      <c r="S40" s="560">
        <f>Q40-R40</f>
        <v>8624000</v>
      </c>
      <c r="T40" s="1565">
        <f t="shared" ref="T40" si="3">S40/R40</f>
        <v>0.32912261954738009</v>
      </c>
    </row>
    <row r="41" spans="1:26" ht="14.45" customHeight="1">
      <c r="A41" s="224"/>
      <c r="B41" s="225"/>
      <c r="C41" s="226"/>
      <c r="D41" s="225"/>
      <c r="E41" s="66" t="s">
        <v>1728</v>
      </c>
      <c r="F41" s="227"/>
      <c r="G41" s="228"/>
      <c r="H41" s="66"/>
      <c r="I41" s="66"/>
      <c r="J41" s="66"/>
      <c r="K41" s="66"/>
      <c r="L41" s="229"/>
      <c r="M41" s="66"/>
      <c r="N41" s="230"/>
      <c r="O41" s="230"/>
      <c r="P41" s="66"/>
      <c r="Q41" s="171">
        <f>SUM(P42)</f>
        <v>11927000</v>
      </c>
      <c r="R41" s="171">
        <v>10953000</v>
      </c>
      <c r="S41" s="171">
        <f>Q41-R41</f>
        <v>974000</v>
      </c>
      <c r="T41" s="172">
        <f t="shared" si="2"/>
        <v>8.8925408563863786E-2</v>
      </c>
    </row>
    <row r="42" spans="1:26" ht="14.45" customHeight="1">
      <c r="A42" s="224"/>
      <c r="B42" s="225"/>
      <c r="C42" s="226"/>
      <c r="D42" s="225"/>
      <c r="E42" s="226"/>
      <c r="F42" s="231" t="s">
        <v>1729</v>
      </c>
      <c r="G42" s="249"/>
      <c r="H42" s="240"/>
      <c r="I42" s="240"/>
      <c r="J42" s="240"/>
      <c r="K42" s="240"/>
      <c r="L42" s="250"/>
      <c r="M42" s="240"/>
      <c r="N42" s="244"/>
      <c r="O42" s="244"/>
      <c r="P42" s="251">
        <f>SUM(P43:P47)</f>
        <v>11927000</v>
      </c>
      <c r="Q42" s="235"/>
      <c r="R42" s="997"/>
      <c r="S42" s="235"/>
      <c r="T42" s="246"/>
    </row>
    <row r="43" spans="1:26" ht="14.45" customHeight="1">
      <c r="A43" s="224"/>
      <c r="B43" s="225"/>
      <c r="C43" s="226"/>
      <c r="D43" s="225"/>
      <c r="E43" s="237"/>
      <c r="F43" s="238" t="s">
        <v>1730</v>
      </c>
      <c r="G43" s="252">
        <v>124725000</v>
      </c>
      <c r="H43" s="240" t="s">
        <v>1028</v>
      </c>
      <c r="I43" s="1993">
        <v>4.4999999999999998E-2</v>
      </c>
      <c r="J43" s="1993"/>
      <c r="K43" s="242"/>
      <c r="L43" s="243"/>
      <c r="M43" s="242"/>
      <c r="N43" s="244"/>
      <c r="O43" s="244" t="s">
        <v>1701</v>
      </c>
      <c r="P43" s="245">
        <f>ROUNDUP(G43*I43,-3)</f>
        <v>5613000</v>
      </c>
      <c r="Q43" s="235"/>
      <c r="R43" s="997"/>
      <c r="S43" s="235"/>
      <c r="T43" s="246"/>
    </row>
    <row r="44" spans="1:26" ht="14.45" customHeight="1">
      <c r="A44" s="224"/>
      <c r="B44" s="225"/>
      <c r="C44" s="226"/>
      <c r="D44" s="225"/>
      <c r="E44" s="247"/>
      <c r="F44" s="248" t="s">
        <v>1731</v>
      </c>
      <c r="G44" s="252">
        <v>124725000</v>
      </c>
      <c r="H44" s="240" t="s">
        <v>1028</v>
      </c>
      <c r="I44" s="1993">
        <v>3.0599999999999999E-2</v>
      </c>
      <c r="J44" s="1993"/>
      <c r="K44" s="242"/>
      <c r="L44" s="243"/>
      <c r="M44" s="242"/>
      <c r="N44" s="244"/>
      <c r="O44" s="244" t="s">
        <v>1701</v>
      </c>
      <c r="P44" s="245">
        <f>ROUNDUP(G44*I44,-3)</f>
        <v>3817000</v>
      </c>
      <c r="Q44" s="235"/>
      <c r="R44" s="997"/>
      <c r="S44" s="235"/>
      <c r="T44" s="246"/>
    </row>
    <row r="45" spans="1:26" ht="14.45" customHeight="1">
      <c r="A45" s="224"/>
      <c r="B45" s="225"/>
      <c r="C45" s="226"/>
      <c r="D45" s="225"/>
      <c r="E45" s="247"/>
      <c r="F45" s="248" t="s">
        <v>1732</v>
      </c>
      <c r="G45" s="252">
        <f>P44</f>
        <v>3817000</v>
      </c>
      <c r="H45" s="240" t="s">
        <v>1700</v>
      </c>
      <c r="I45" s="1993">
        <v>6.5500000000000003E-2</v>
      </c>
      <c r="J45" s="1993"/>
      <c r="K45" s="242"/>
      <c r="L45" s="243"/>
      <c r="M45" s="242"/>
      <c r="N45" s="244"/>
      <c r="O45" s="244" t="s">
        <v>347</v>
      </c>
      <c r="P45" s="245">
        <f>ROUNDUP(G45*I45,-3)</f>
        <v>251000</v>
      </c>
      <c r="Q45" s="235"/>
      <c r="R45" s="997"/>
      <c r="S45" s="235"/>
      <c r="T45" s="246"/>
      <c r="Z45" s="198"/>
    </row>
    <row r="46" spans="1:26" ht="14.45" customHeight="1">
      <c r="A46" s="224"/>
      <c r="B46" s="225"/>
      <c r="C46" s="226"/>
      <c r="D46" s="225"/>
      <c r="E46" s="247"/>
      <c r="F46" s="248" t="s">
        <v>1733</v>
      </c>
      <c r="G46" s="252">
        <v>124725000</v>
      </c>
      <c r="H46" s="240" t="s">
        <v>1028</v>
      </c>
      <c r="I46" s="1993">
        <v>8.9999999999999993E-3</v>
      </c>
      <c r="J46" s="1993"/>
      <c r="K46" s="242"/>
      <c r="L46" s="243"/>
      <c r="M46" s="242"/>
      <c r="N46" s="244"/>
      <c r="O46" s="244" t="s">
        <v>347</v>
      </c>
      <c r="P46" s="245">
        <f>ROUNDUP(G46*I46,-3)</f>
        <v>1123000</v>
      </c>
      <c r="Q46" s="235"/>
      <c r="R46" s="997"/>
      <c r="S46" s="235"/>
      <c r="T46" s="246"/>
    </row>
    <row r="47" spans="1:26" ht="14.45" customHeight="1">
      <c r="A47" s="224"/>
      <c r="B47" s="225"/>
      <c r="C47" s="226"/>
      <c r="D47" s="225"/>
      <c r="E47" s="247"/>
      <c r="F47" s="248" t="s">
        <v>1734</v>
      </c>
      <c r="G47" s="252">
        <v>124725000</v>
      </c>
      <c r="H47" s="240" t="s">
        <v>1028</v>
      </c>
      <c r="I47" s="1993">
        <v>8.9999999999999993E-3</v>
      </c>
      <c r="J47" s="1993"/>
      <c r="K47" s="242"/>
      <c r="L47" s="243"/>
      <c r="M47" s="242"/>
      <c r="N47" s="244"/>
      <c r="O47" s="244" t="s">
        <v>347</v>
      </c>
      <c r="P47" s="245">
        <f>ROUNDUP(G47*I47,-3)</f>
        <v>1123000</v>
      </c>
      <c r="Q47" s="235"/>
      <c r="R47" s="997"/>
      <c r="S47" s="235"/>
      <c r="T47" s="246"/>
      <c r="W47" s="275"/>
    </row>
    <row r="48" spans="1:26" ht="14.45" customHeight="1">
      <c r="A48" s="224"/>
      <c r="B48" s="225"/>
      <c r="C48" s="226"/>
      <c r="D48" s="225"/>
      <c r="E48" s="66" t="s">
        <v>1735</v>
      </c>
      <c r="F48" s="227"/>
      <c r="G48" s="228"/>
      <c r="H48" s="66"/>
      <c r="I48" s="66"/>
      <c r="J48" s="66"/>
      <c r="K48" s="66"/>
      <c r="L48" s="229"/>
      <c r="M48" s="66"/>
      <c r="N48" s="230"/>
      <c r="O48" s="230"/>
      <c r="P48" s="66"/>
      <c r="Q48" s="171">
        <f>SUM(P49+P51+P53+P55)</f>
        <v>3400000</v>
      </c>
      <c r="R48" s="171">
        <v>2220000</v>
      </c>
      <c r="S48" s="171">
        <f>Q48-R48</f>
        <v>1180000</v>
      </c>
      <c r="T48" s="172">
        <f t="shared" si="2"/>
        <v>0.53153153153153154</v>
      </c>
    </row>
    <row r="49" spans="1:22" ht="14.45" customHeight="1">
      <c r="A49" s="224"/>
      <c r="B49" s="225"/>
      <c r="C49" s="226"/>
      <c r="D49" s="225"/>
      <c r="E49" s="226"/>
      <c r="F49" s="231" t="s">
        <v>1736</v>
      </c>
      <c r="G49" s="249"/>
      <c r="H49" s="240"/>
      <c r="I49" s="240"/>
      <c r="J49" s="240"/>
      <c r="K49" s="240"/>
      <c r="L49" s="250"/>
      <c r="M49" s="240"/>
      <c r="N49" s="244"/>
      <c r="O49" s="244"/>
      <c r="P49" s="251">
        <f>SUM(P50:P50)</f>
        <v>200000</v>
      </c>
      <c r="Q49" s="235"/>
      <c r="R49" s="997"/>
      <c r="S49" s="235"/>
      <c r="T49" s="246"/>
    </row>
    <row r="50" spans="1:22" ht="14.45" customHeight="1">
      <c r="A50" s="224"/>
      <c r="B50" s="225"/>
      <c r="C50" s="226"/>
      <c r="D50" s="225"/>
      <c r="E50" s="237"/>
      <c r="F50" s="238" t="s">
        <v>1737</v>
      </c>
      <c r="G50" s="252">
        <v>100000</v>
      </c>
      <c r="H50" s="240" t="s">
        <v>1028</v>
      </c>
      <c r="I50" s="256">
        <v>2</v>
      </c>
      <c r="J50" s="240"/>
      <c r="K50" s="242"/>
      <c r="L50" s="243"/>
      <c r="M50" s="242"/>
      <c r="N50" s="244"/>
      <c r="O50" s="244" t="s">
        <v>347</v>
      </c>
      <c r="P50" s="245">
        <f>ROUNDUP(G50*I50,-3)</f>
        <v>200000</v>
      </c>
      <c r="Q50" s="235"/>
      <c r="R50" s="997"/>
      <c r="S50" s="235"/>
      <c r="T50" s="246"/>
    </row>
    <row r="51" spans="1:22" ht="14.45" customHeight="1">
      <c r="A51" s="224"/>
      <c r="B51" s="225"/>
      <c r="C51" s="226"/>
      <c r="D51" s="225"/>
      <c r="E51" s="226"/>
      <c r="F51" s="231" t="s">
        <v>1738</v>
      </c>
      <c r="G51" s="249"/>
      <c r="H51" s="240"/>
      <c r="I51" s="240"/>
      <c r="J51" s="240"/>
      <c r="K51" s="240"/>
      <c r="L51" s="250"/>
      <c r="M51" s="240"/>
      <c r="N51" s="244"/>
      <c r="O51" s="244"/>
      <c r="P51" s="251">
        <f>SUM(P52:P52)</f>
        <v>2400000</v>
      </c>
      <c r="Q51" s="235"/>
      <c r="R51" s="997"/>
      <c r="S51" s="235"/>
      <c r="T51" s="246"/>
    </row>
    <row r="52" spans="1:22" ht="14.45" customHeight="1">
      <c r="A52" s="224"/>
      <c r="B52" s="225"/>
      <c r="C52" s="226"/>
      <c r="D52" s="225"/>
      <c r="E52" s="237"/>
      <c r="F52" s="238" t="s">
        <v>1739</v>
      </c>
      <c r="G52" s="252">
        <v>200000</v>
      </c>
      <c r="H52" s="240" t="s">
        <v>1028</v>
      </c>
      <c r="I52" s="242">
        <v>12</v>
      </c>
      <c r="J52" s="240"/>
      <c r="K52" s="242"/>
      <c r="L52" s="243"/>
      <c r="M52" s="242"/>
      <c r="N52" s="244"/>
      <c r="O52" s="244" t="s">
        <v>1701</v>
      </c>
      <c r="P52" s="245">
        <f>ROUNDUP(G52*I52,-3)</f>
        <v>2400000</v>
      </c>
      <c r="Q52" s="235"/>
      <c r="R52" s="997"/>
      <c r="S52" s="235"/>
      <c r="T52" s="246"/>
    </row>
    <row r="53" spans="1:22" ht="14.45" customHeight="1">
      <c r="A53" s="224"/>
      <c r="B53" s="225"/>
      <c r="C53" s="226"/>
      <c r="D53" s="225"/>
      <c r="E53" s="226"/>
      <c r="F53" s="231" t="s">
        <v>1740</v>
      </c>
      <c r="G53" s="249"/>
      <c r="H53" s="240"/>
      <c r="I53" s="240"/>
      <c r="J53" s="240"/>
      <c r="K53" s="240"/>
      <c r="L53" s="250"/>
      <c r="M53" s="240"/>
      <c r="N53" s="244"/>
      <c r="O53" s="244"/>
      <c r="P53" s="251">
        <f>SUM(P54:P54)</f>
        <v>500000</v>
      </c>
      <c r="Q53" s="235"/>
      <c r="R53" s="997"/>
      <c r="S53" s="235"/>
      <c r="T53" s="246"/>
    </row>
    <row r="54" spans="1:22" ht="14.45" customHeight="1">
      <c r="A54" s="224"/>
      <c r="B54" s="225"/>
      <c r="C54" s="226"/>
      <c r="D54" s="225"/>
      <c r="E54" s="237"/>
      <c r="F54" s="238" t="s">
        <v>1741</v>
      </c>
      <c r="G54" s="252">
        <v>500000</v>
      </c>
      <c r="H54" s="240" t="s">
        <v>1700</v>
      </c>
      <c r="I54" s="256">
        <v>1</v>
      </c>
      <c r="J54" s="240"/>
      <c r="K54" s="242"/>
      <c r="L54" s="243"/>
      <c r="M54" s="242"/>
      <c r="N54" s="244"/>
      <c r="O54" s="244" t="s">
        <v>281</v>
      </c>
      <c r="P54" s="245">
        <f>ROUNDUP(G54*I54,-3)</f>
        <v>500000</v>
      </c>
      <c r="Q54" s="235"/>
      <c r="R54" s="997"/>
      <c r="S54" s="235"/>
      <c r="T54" s="246"/>
    </row>
    <row r="55" spans="1:22" ht="14.45" customHeight="1">
      <c r="A55" s="224"/>
      <c r="B55" s="225"/>
      <c r="C55" s="226"/>
      <c r="D55" s="225"/>
      <c r="E55" s="226"/>
      <c r="F55" s="231" t="s">
        <v>1742</v>
      </c>
      <c r="G55" s="249"/>
      <c r="H55" s="240"/>
      <c r="I55" s="240"/>
      <c r="J55" s="240"/>
      <c r="K55" s="240"/>
      <c r="L55" s="250"/>
      <c r="M55" s="240"/>
      <c r="N55" s="244"/>
      <c r="O55" s="244"/>
      <c r="P55" s="125">
        <f>SUM(P56:P57)</f>
        <v>300000</v>
      </c>
      <c r="Q55" s="235"/>
      <c r="R55" s="997"/>
      <c r="S55" s="235"/>
      <c r="T55" s="246"/>
    </row>
    <row r="56" spans="1:22" ht="14.45" customHeight="1">
      <c r="A56" s="224"/>
      <c r="B56" s="225"/>
      <c r="C56" s="226"/>
      <c r="D56" s="225"/>
      <c r="E56" s="237"/>
      <c r="F56" s="238" t="s">
        <v>1743</v>
      </c>
      <c r="G56" s="252">
        <v>100000</v>
      </c>
      <c r="H56" s="240" t="s">
        <v>1683</v>
      </c>
      <c r="I56" s="256">
        <v>1</v>
      </c>
      <c r="J56" s="240"/>
      <c r="K56" s="242"/>
      <c r="L56" s="243"/>
      <c r="M56" s="242"/>
      <c r="N56" s="244"/>
      <c r="O56" s="244" t="s">
        <v>1667</v>
      </c>
      <c r="P56" s="111">
        <f>ROUNDUP(G56*I56,-3)</f>
        <v>100000</v>
      </c>
      <c r="Q56" s="235"/>
      <c r="R56" s="997"/>
      <c r="S56" s="235"/>
      <c r="T56" s="246"/>
    </row>
    <row r="57" spans="1:22" ht="14.45" customHeight="1">
      <c r="A57" s="224"/>
      <c r="B57" s="225"/>
      <c r="C57" s="226"/>
      <c r="D57" s="225"/>
      <c r="E57" s="237"/>
      <c r="F57" s="248" t="s">
        <v>1744</v>
      </c>
      <c r="G57" s="249">
        <v>100000</v>
      </c>
      <c r="H57" s="240" t="s">
        <v>1683</v>
      </c>
      <c r="I57" s="256">
        <v>2</v>
      </c>
      <c r="J57" s="240"/>
      <c r="K57" s="242"/>
      <c r="L57" s="243"/>
      <c r="M57" s="242"/>
      <c r="N57" s="244"/>
      <c r="O57" s="244" t="s">
        <v>281</v>
      </c>
      <c r="P57" s="111">
        <f>ROUNDUP(G57*I57,-3)</f>
        <v>200000</v>
      </c>
      <c r="Q57" s="235"/>
      <c r="R57" s="997"/>
      <c r="S57" s="235"/>
      <c r="T57" s="246"/>
      <c r="V57" s="236"/>
    </row>
    <row r="58" spans="1:22" ht="14.45" customHeight="1">
      <c r="A58" s="224"/>
      <c r="B58" s="225"/>
      <c r="C58" s="226"/>
      <c r="D58" s="225"/>
      <c r="E58" s="66" t="s">
        <v>1745</v>
      </c>
      <c r="F58" s="227"/>
      <c r="G58" s="228"/>
      <c r="H58" s="66"/>
      <c r="I58" s="66"/>
      <c r="J58" s="66"/>
      <c r="K58" s="66"/>
      <c r="L58" s="229"/>
      <c r="M58" s="66"/>
      <c r="N58" s="230"/>
      <c r="O58" s="230"/>
      <c r="P58" s="66"/>
      <c r="Q58" s="171">
        <f>P59</f>
        <v>14400000</v>
      </c>
      <c r="R58" s="171">
        <v>12480000</v>
      </c>
      <c r="S58" s="171">
        <f>Q58-R58</f>
        <v>1920000</v>
      </c>
      <c r="T58" s="172">
        <f t="shared" si="2"/>
        <v>0.15384615384615385</v>
      </c>
    </row>
    <row r="59" spans="1:22" ht="14.45" customHeight="1">
      <c r="A59" s="224"/>
      <c r="B59" s="225"/>
      <c r="C59" s="226"/>
      <c r="D59" s="225"/>
      <c r="E59" s="226"/>
      <c r="F59" s="231" t="s">
        <v>394</v>
      </c>
      <c r="G59" s="249"/>
      <c r="H59" s="240"/>
      <c r="I59" s="240"/>
      <c r="J59" s="240"/>
      <c r="K59" s="240"/>
      <c r="L59" s="250"/>
      <c r="M59" s="240"/>
      <c r="N59" s="244"/>
      <c r="O59" s="244"/>
      <c r="P59" s="251">
        <f>SUM(P60:P60)</f>
        <v>14400000</v>
      </c>
      <c r="Q59" s="235"/>
      <c r="R59" s="997"/>
      <c r="S59" s="235"/>
      <c r="T59" s="246"/>
    </row>
    <row r="60" spans="1:22" ht="14.45" customHeight="1">
      <c r="A60" s="224"/>
      <c r="B60" s="225"/>
      <c r="C60" s="226"/>
      <c r="D60" s="225"/>
      <c r="E60" s="237"/>
      <c r="F60" s="238" t="s">
        <v>1746</v>
      </c>
      <c r="G60" s="252">
        <v>1200000</v>
      </c>
      <c r="H60" s="240" t="s">
        <v>1028</v>
      </c>
      <c r="I60" s="242">
        <v>12</v>
      </c>
      <c r="J60" s="240"/>
      <c r="K60" s="2001"/>
      <c r="L60" s="2001"/>
      <c r="M60" s="242"/>
      <c r="N60" s="244"/>
      <c r="O60" s="244" t="s">
        <v>1667</v>
      </c>
      <c r="P60" s="245">
        <f>ROUNDUP(G60*I60,-3)</f>
        <v>14400000</v>
      </c>
      <c r="Q60" s="235"/>
      <c r="R60" s="1566"/>
      <c r="S60" s="235"/>
      <c r="T60" s="246"/>
    </row>
    <row r="61" spans="1:22" ht="14.45" customHeight="1">
      <c r="A61" s="224"/>
      <c r="B61" s="225"/>
      <c r="C61" s="226"/>
      <c r="D61" s="225"/>
      <c r="E61" s="66" t="s">
        <v>1747</v>
      </c>
      <c r="F61" s="227"/>
      <c r="G61" s="228"/>
      <c r="H61" s="66"/>
      <c r="I61" s="66"/>
      <c r="J61" s="66"/>
      <c r="K61" s="66"/>
      <c r="L61" s="229"/>
      <c r="M61" s="66"/>
      <c r="N61" s="230"/>
      <c r="O61" s="230"/>
      <c r="P61" s="66"/>
      <c r="Q61" s="171">
        <f>P62+P65+P67</f>
        <v>5100000</v>
      </c>
      <c r="R61" s="171">
        <v>0</v>
      </c>
      <c r="S61" s="171">
        <f>Q61-R61</f>
        <v>5100000</v>
      </c>
      <c r="T61" s="172">
        <v>1</v>
      </c>
    </row>
    <row r="62" spans="1:22" ht="14.45" customHeight="1">
      <c r="A62" s="224"/>
      <c r="B62" s="225"/>
      <c r="C62" s="226"/>
      <c r="D62" s="225"/>
      <c r="E62" s="226"/>
      <c r="F62" s="231" t="s">
        <v>814</v>
      </c>
      <c r="G62" s="249"/>
      <c r="H62" s="240"/>
      <c r="I62" s="240"/>
      <c r="J62" s="240"/>
      <c r="K62" s="240"/>
      <c r="L62" s="250"/>
      <c r="M62" s="240"/>
      <c r="N62" s="244"/>
      <c r="O62" s="244"/>
      <c r="P62" s="251">
        <f>SUM(P63:P64)</f>
        <v>3880000</v>
      </c>
      <c r="Q62" s="235"/>
      <c r="R62" s="997"/>
      <c r="S62" s="235"/>
      <c r="T62" s="246"/>
    </row>
    <row r="63" spans="1:22" ht="14.45" customHeight="1">
      <c r="A63" s="224"/>
      <c r="B63" s="225"/>
      <c r="C63" s="226"/>
      <c r="D63" s="225"/>
      <c r="E63" s="237"/>
      <c r="F63" s="238" t="s">
        <v>1748</v>
      </c>
      <c r="G63" s="252">
        <v>250000</v>
      </c>
      <c r="H63" s="240" t="s">
        <v>1683</v>
      </c>
      <c r="I63" s="242">
        <v>12</v>
      </c>
      <c r="J63" s="240"/>
      <c r="K63" s="242"/>
      <c r="L63" s="243"/>
      <c r="M63" s="242"/>
      <c r="N63" s="244"/>
      <c r="O63" s="244" t="s">
        <v>1667</v>
      </c>
      <c r="P63" s="245">
        <f>ROUNDUP(G63*I63,-3)</f>
        <v>3000000</v>
      </c>
      <c r="Q63" s="235"/>
      <c r="R63" s="997"/>
      <c r="S63" s="235"/>
      <c r="T63" s="246"/>
    </row>
    <row r="64" spans="1:22" ht="14.45" customHeight="1">
      <c r="A64" s="224"/>
      <c r="B64" s="225"/>
      <c r="C64" s="226"/>
      <c r="D64" s="225"/>
      <c r="E64" s="247"/>
      <c r="F64" s="248" t="s">
        <v>1749</v>
      </c>
      <c r="G64" s="249">
        <v>220000</v>
      </c>
      <c r="H64" s="240" t="s">
        <v>1683</v>
      </c>
      <c r="I64" s="256">
        <v>4</v>
      </c>
      <c r="J64" s="240"/>
      <c r="K64" s="242"/>
      <c r="L64" s="243"/>
      <c r="M64" s="242"/>
      <c r="N64" s="244"/>
      <c r="O64" s="244" t="s">
        <v>1667</v>
      </c>
      <c r="P64" s="245">
        <f>ROUNDUP(G64*I64,-3)</f>
        <v>880000</v>
      </c>
      <c r="Q64" s="235"/>
      <c r="R64" s="997"/>
      <c r="S64" s="235"/>
      <c r="T64" s="246"/>
    </row>
    <row r="65" spans="1:20" ht="14.45" customHeight="1">
      <c r="A65" s="224"/>
      <c r="B65" s="225"/>
      <c r="C65" s="226"/>
      <c r="D65" s="225"/>
      <c r="E65" s="521"/>
      <c r="F65" s="231" t="s">
        <v>1750</v>
      </c>
      <c r="G65" s="232"/>
      <c r="H65" s="226"/>
      <c r="I65" s="226"/>
      <c r="J65" s="226"/>
      <c r="K65" s="226"/>
      <c r="L65" s="1386"/>
      <c r="M65" s="226"/>
      <c r="N65" s="233"/>
      <c r="O65" s="233"/>
      <c r="P65" s="251">
        <f>SUM(P66)</f>
        <v>800000</v>
      </c>
      <c r="Q65" s="235"/>
      <c r="R65" s="997"/>
      <c r="S65" s="235"/>
      <c r="T65" s="246"/>
    </row>
    <row r="66" spans="1:20" ht="14.45" customHeight="1">
      <c r="A66" s="224"/>
      <c r="B66" s="225"/>
      <c r="C66" s="226"/>
      <c r="D66" s="225"/>
      <c r="E66" s="1399"/>
      <c r="F66" s="238" t="s">
        <v>2559</v>
      </c>
      <c r="G66" s="1567">
        <v>200000</v>
      </c>
      <c r="H66" s="226" t="s">
        <v>1683</v>
      </c>
      <c r="I66" s="1568">
        <v>4</v>
      </c>
      <c r="J66" s="226"/>
      <c r="K66" s="1568"/>
      <c r="L66" s="1569"/>
      <c r="M66" s="1568"/>
      <c r="N66" s="233"/>
      <c r="O66" s="233" t="s">
        <v>1667</v>
      </c>
      <c r="P66" s="1570">
        <f>ROUNDUP(G66*I66,-3)</f>
        <v>800000</v>
      </c>
      <c r="Q66" s="235"/>
      <c r="R66" s="997"/>
      <c r="S66" s="235"/>
      <c r="T66" s="246"/>
    </row>
    <row r="67" spans="1:20" ht="14.45" customHeight="1">
      <c r="A67" s="224"/>
      <c r="B67" s="225"/>
      <c r="C67" s="226"/>
      <c r="D67" s="225"/>
      <c r="E67" s="521"/>
      <c r="F67" s="231" t="s">
        <v>1751</v>
      </c>
      <c r="G67" s="249"/>
      <c r="H67" s="240"/>
      <c r="I67" s="240"/>
      <c r="J67" s="240"/>
      <c r="K67" s="240"/>
      <c r="L67" s="250"/>
      <c r="M67" s="240"/>
      <c r="N67" s="244"/>
      <c r="O67" s="244"/>
      <c r="P67" s="251">
        <f>SUM(P68:P68)</f>
        <v>420000</v>
      </c>
      <c r="Q67" s="235"/>
      <c r="R67" s="997"/>
      <c r="S67" s="235"/>
      <c r="T67" s="246"/>
    </row>
    <row r="68" spans="1:20" ht="14.45" customHeight="1">
      <c r="A68" s="224"/>
      <c r="B68" s="225"/>
      <c r="C68" s="226"/>
      <c r="D68" s="225"/>
      <c r="E68" s="577"/>
      <c r="F68" s="578" t="s">
        <v>1752</v>
      </c>
      <c r="G68" s="579">
        <v>105000</v>
      </c>
      <c r="H68" s="283" t="s">
        <v>1683</v>
      </c>
      <c r="I68" s="284">
        <v>4</v>
      </c>
      <c r="J68" s="283"/>
      <c r="K68" s="284"/>
      <c r="L68" s="1402"/>
      <c r="M68" s="284"/>
      <c r="N68" s="285"/>
      <c r="O68" s="285" t="s">
        <v>281</v>
      </c>
      <c r="P68" s="286">
        <f>ROUNDUP(G68*I68,-3)</f>
        <v>420000</v>
      </c>
      <c r="Q68" s="287"/>
      <c r="R68" s="1027"/>
      <c r="S68" s="287"/>
      <c r="T68" s="288"/>
    </row>
    <row r="69" spans="1:20" ht="14.45" customHeight="1">
      <c r="A69" s="224"/>
      <c r="B69" s="225"/>
      <c r="C69" s="226"/>
      <c r="D69" s="225"/>
      <c r="E69" s="66" t="s">
        <v>1648</v>
      </c>
      <c r="F69" s="227"/>
      <c r="G69" s="228"/>
      <c r="H69" s="66"/>
      <c r="I69" s="66"/>
      <c r="J69" s="66"/>
      <c r="K69" s="66"/>
      <c r="L69" s="229"/>
      <c r="M69" s="66"/>
      <c r="N69" s="230"/>
      <c r="O69" s="230"/>
      <c r="P69" s="66"/>
      <c r="Q69" s="171">
        <v>0</v>
      </c>
      <c r="R69" s="171">
        <v>500000</v>
      </c>
      <c r="S69" s="171">
        <f>Q69-R69</f>
        <v>-500000</v>
      </c>
      <c r="T69" s="172">
        <f t="shared" ref="T69:T190" si="4">S69/R69</f>
        <v>-1</v>
      </c>
    </row>
    <row r="70" spans="1:20" ht="14.45" customHeight="1">
      <c r="A70" s="224"/>
      <c r="B70" s="225"/>
      <c r="C70" s="226"/>
      <c r="D70" s="278"/>
      <c r="E70" s="66" t="s">
        <v>1753</v>
      </c>
      <c r="F70" s="227"/>
      <c r="G70" s="228"/>
      <c r="H70" s="66"/>
      <c r="I70" s="66"/>
      <c r="J70" s="66"/>
      <c r="K70" s="66"/>
      <c r="L70" s="229"/>
      <c r="M70" s="66"/>
      <c r="N70" s="230"/>
      <c r="O70" s="230"/>
      <c r="P70" s="66"/>
      <c r="Q70" s="171">
        <v>0</v>
      </c>
      <c r="R70" s="171">
        <v>50000</v>
      </c>
      <c r="S70" s="171">
        <f>Q70-R70</f>
        <v>-50000</v>
      </c>
      <c r="T70" s="172">
        <f t="shared" si="4"/>
        <v>-1</v>
      </c>
    </row>
    <row r="71" spans="1:20" ht="14.45" customHeight="1">
      <c r="A71" s="224"/>
      <c r="B71" s="222"/>
      <c r="C71" s="214" t="s">
        <v>1754</v>
      </c>
      <c r="D71" s="266"/>
      <c r="E71" s="214"/>
      <c r="F71" s="215"/>
      <c r="G71" s="216"/>
      <c r="H71" s="217"/>
      <c r="I71" s="217"/>
      <c r="J71" s="217"/>
      <c r="K71" s="217"/>
      <c r="L71" s="218"/>
      <c r="M71" s="217"/>
      <c r="N71" s="219"/>
      <c r="O71" s="219"/>
      <c r="P71" s="217"/>
      <c r="Q71" s="220">
        <f>SUM(Q72,Q80)</f>
        <v>48200000</v>
      </c>
      <c r="R71" s="220">
        <f>SUM(R72,R80)</f>
        <v>10545000</v>
      </c>
      <c r="S71" s="220">
        <f>Q71-R71</f>
        <v>37655000</v>
      </c>
      <c r="T71" s="221">
        <f t="shared" si="4"/>
        <v>3.5708866761498341</v>
      </c>
    </row>
    <row r="72" spans="1:20" s="826" customFormat="1" ht="14.45" customHeight="1">
      <c r="A72" s="857"/>
      <c r="B72" s="848"/>
      <c r="C72" s="856"/>
      <c r="D72" s="1296" t="s">
        <v>268</v>
      </c>
      <c r="E72" s="1297"/>
      <c r="F72" s="1297"/>
      <c r="G72" s="1298"/>
      <c r="H72" s="1297"/>
      <c r="I72" s="1297"/>
      <c r="J72" s="1297"/>
      <c r="K72" s="1297"/>
      <c r="L72" s="1299"/>
      <c r="M72" s="1297"/>
      <c r="N72" s="1300"/>
      <c r="O72" s="1300"/>
      <c r="P72" s="1297"/>
      <c r="Q72" s="1301">
        <f>SUM(Q73,Q77)</f>
        <v>0</v>
      </c>
      <c r="R72" s="1301">
        <f>SUM(R73,R77)</f>
        <v>0</v>
      </c>
      <c r="S72" s="76">
        <f>Q72-R72</f>
        <v>0</v>
      </c>
      <c r="T72" s="1302">
        <v>0</v>
      </c>
    </row>
    <row r="73" spans="1:20" s="826" customFormat="1" ht="14.45" customHeight="1">
      <c r="A73" s="857"/>
      <c r="B73" s="858"/>
      <c r="C73" s="859"/>
      <c r="D73" s="860"/>
      <c r="E73" s="861" t="s">
        <v>269</v>
      </c>
      <c r="F73" s="1303"/>
      <c r="G73" s="1304"/>
      <c r="H73" s="1303"/>
      <c r="I73" s="1303"/>
      <c r="J73" s="1303"/>
      <c r="K73" s="1303"/>
      <c r="L73" s="1305"/>
      <c r="M73" s="1303"/>
      <c r="N73" s="1306"/>
      <c r="O73" s="1306"/>
      <c r="P73" s="1303"/>
      <c r="Q73" s="171">
        <f>P74+P76</f>
        <v>0</v>
      </c>
      <c r="R73" s="374">
        <v>0</v>
      </c>
      <c r="S73" s="374">
        <f>Q73-R73</f>
        <v>0</v>
      </c>
      <c r="T73" s="864">
        <v>0</v>
      </c>
    </row>
    <row r="74" spans="1:20" s="826" customFormat="1" ht="14.45" hidden="1" customHeight="1">
      <c r="A74" s="857"/>
      <c r="B74" s="858"/>
      <c r="C74" s="859"/>
      <c r="D74" s="858"/>
      <c r="E74" s="339"/>
      <c r="F74" s="1293" t="s">
        <v>1755</v>
      </c>
      <c r="G74" s="865"/>
      <c r="H74" s="339"/>
      <c r="I74" s="339"/>
      <c r="J74" s="339"/>
      <c r="K74" s="339"/>
      <c r="L74" s="1216"/>
      <c r="M74" s="339"/>
      <c r="N74" s="866"/>
      <c r="O74" s="866"/>
      <c r="P74" s="867">
        <f>SUM(P76)</f>
        <v>0</v>
      </c>
      <c r="Q74" s="1198"/>
      <c r="R74" s="1198"/>
      <c r="S74" s="1198"/>
      <c r="T74" s="1199"/>
    </row>
    <row r="75" spans="1:20" s="826" customFormat="1" ht="14.45" hidden="1" customHeight="1">
      <c r="A75" s="857"/>
      <c r="B75" s="858"/>
      <c r="C75" s="859"/>
      <c r="D75" s="858"/>
      <c r="E75" s="339"/>
      <c r="F75" s="238" t="s">
        <v>1756</v>
      </c>
      <c r="G75" s="865"/>
      <c r="H75" s="240" t="s">
        <v>1683</v>
      </c>
      <c r="I75" s="339"/>
      <c r="J75" s="339"/>
      <c r="K75" s="339"/>
      <c r="L75" s="1216"/>
      <c r="M75" s="339"/>
      <c r="N75" s="866"/>
      <c r="O75" s="866"/>
      <c r="P75" s="867"/>
      <c r="Q75" s="1198"/>
      <c r="R75" s="1198"/>
      <c r="S75" s="1198"/>
      <c r="T75" s="1199"/>
    </row>
    <row r="76" spans="1:20" s="826" customFormat="1" ht="14.45" hidden="1" customHeight="1">
      <c r="A76" s="857"/>
      <c r="B76" s="858"/>
      <c r="C76" s="859"/>
      <c r="D76" s="858"/>
      <c r="E76" s="339"/>
      <c r="F76" s="1293" t="s">
        <v>1757</v>
      </c>
      <c r="G76" s="865"/>
      <c r="H76" s="339"/>
      <c r="I76" s="339"/>
      <c r="J76" s="339"/>
      <c r="K76" s="339"/>
      <c r="L76" s="1216"/>
      <c r="M76" s="339"/>
      <c r="N76" s="866"/>
      <c r="O76" s="866"/>
      <c r="P76" s="867">
        <f>SUM(P79)</f>
        <v>0</v>
      </c>
      <c r="Q76" s="388"/>
      <c r="R76" s="868"/>
      <c r="S76" s="868"/>
      <c r="T76" s="869"/>
    </row>
    <row r="77" spans="1:20" ht="14.45" customHeight="1">
      <c r="A77" s="576"/>
      <c r="B77" s="278"/>
      <c r="C77" s="279"/>
      <c r="D77" s="278"/>
      <c r="E77" s="255" t="s">
        <v>1758</v>
      </c>
      <c r="F77" s="268"/>
      <c r="G77" s="270"/>
      <c r="H77" s="268"/>
      <c r="I77" s="268"/>
      <c r="J77" s="268"/>
      <c r="K77" s="268"/>
      <c r="L77" s="1556"/>
      <c r="M77" s="268"/>
      <c r="N77" s="271"/>
      <c r="O77" s="268"/>
      <c r="P77" s="271"/>
      <c r="Q77" s="171">
        <f>P78</f>
        <v>0</v>
      </c>
      <c r="R77" s="171">
        <v>0</v>
      </c>
      <c r="S77" s="171">
        <f>Q77-R77</f>
        <v>0</v>
      </c>
      <c r="T77" s="172">
        <v>0</v>
      </c>
    </row>
    <row r="78" spans="1:20" s="193" customFormat="1" ht="14.45" hidden="1" customHeight="1">
      <c r="A78" s="1571"/>
      <c r="B78" s="225"/>
      <c r="C78" s="226"/>
      <c r="D78" s="225"/>
      <c r="E78" s="223"/>
      <c r="F78" s="1293" t="s">
        <v>1757</v>
      </c>
      <c r="G78" s="1572"/>
      <c r="H78" s="223"/>
      <c r="I78" s="223"/>
      <c r="J78" s="223"/>
      <c r="K78" s="223"/>
      <c r="L78" s="519"/>
      <c r="M78" s="223"/>
      <c r="N78" s="1573"/>
      <c r="O78" s="223"/>
      <c r="P78" s="1574"/>
      <c r="Q78" s="223"/>
      <c r="R78" s="101"/>
      <c r="S78" s="101"/>
      <c r="T78" s="1489"/>
    </row>
    <row r="79" spans="1:20" s="826" customFormat="1" ht="14.45" hidden="1" customHeight="1">
      <c r="A79" s="857"/>
      <c r="B79" s="858"/>
      <c r="C79" s="859"/>
      <c r="D79" s="870"/>
      <c r="E79" s="340"/>
      <c r="F79" s="340" t="s">
        <v>1759</v>
      </c>
      <c r="G79" s="871"/>
      <c r="H79" s="339" t="s">
        <v>109</v>
      </c>
      <c r="I79" s="387"/>
      <c r="J79" s="339"/>
      <c r="K79" s="1204"/>
      <c r="L79" s="1205"/>
      <c r="M79" s="1204"/>
      <c r="N79" s="866"/>
      <c r="O79" s="866" t="s">
        <v>110</v>
      </c>
      <c r="P79" s="1575">
        <f>G79*I79</f>
        <v>0</v>
      </c>
      <c r="Q79" s="1576"/>
      <c r="R79" s="868"/>
      <c r="S79" s="868"/>
      <c r="T79" s="869"/>
    </row>
    <row r="80" spans="1:20" ht="14.45" customHeight="1">
      <c r="A80" s="224"/>
      <c r="B80" s="222"/>
      <c r="C80" s="223"/>
      <c r="D80" s="394" t="s">
        <v>1760</v>
      </c>
      <c r="E80" s="84"/>
      <c r="F80" s="85"/>
      <c r="G80" s="86"/>
      <c r="H80" s="84"/>
      <c r="I80" s="84"/>
      <c r="J80" s="84"/>
      <c r="K80" s="84"/>
      <c r="L80" s="83"/>
      <c r="M80" s="84"/>
      <c r="N80" s="87"/>
      <c r="O80" s="87"/>
      <c r="P80" s="84"/>
      <c r="Q80" s="76">
        <f>Q81+Q136</f>
        <v>48200000</v>
      </c>
      <c r="R80" s="76">
        <f>R81+R136</f>
        <v>10545000</v>
      </c>
      <c r="S80" s="76">
        <f>Q80-R80</f>
        <v>37655000</v>
      </c>
      <c r="T80" s="77">
        <f t="shared" si="4"/>
        <v>3.5708866761498341</v>
      </c>
    </row>
    <row r="81" spans="1:26" ht="14.45" customHeight="1">
      <c r="A81" s="224"/>
      <c r="B81" s="225"/>
      <c r="C81" s="226"/>
      <c r="D81" s="267"/>
      <c r="E81" s="66" t="s">
        <v>2445</v>
      </c>
      <c r="F81" s="269"/>
      <c r="G81" s="270"/>
      <c r="H81" s="268"/>
      <c r="I81" s="268"/>
      <c r="J81" s="268"/>
      <c r="K81" s="268"/>
      <c r="L81" s="1556"/>
      <c r="M81" s="268"/>
      <c r="N81" s="271"/>
      <c r="O81" s="271"/>
      <c r="P81" s="268"/>
      <c r="Q81" s="171">
        <f>P83+P89+P95+P100+P105+P111+P115+P120+P129+P131</f>
        <v>37600000</v>
      </c>
      <c r="R81" s="171">
        <v>10545000</v>
      </c>
      <c r="S81" s="171">
        <f>Q81-R81</f>
        <v>27055000</v>
      </c>
      <c r="T81" s="172">
        <f t="shared" si="4"/>
        <v>2.5656709340919868</v>
      </c>
    </row>
    <row r="82" spans="1:26" ht="14.45" customHeight="1">
      <c r="A82" s="224"/>
      <c r="B82" s="225"/>
      <c r="C82" s="226"/>
      <c r="D82" s="225"/>
      <c r="E82" s="226"/>
      <c r="F82" s="1845" t="s">
        <v>1761</v>
      </c>
      <c r="G82" s="1846"/>
      <c r="H82" s="1847"/>
      <c r="I82" s="1847"/>
      <c r="J82" s="1847"/>
      <c r="K82" s="1847"/>
      <c r="L82" s="1848"/>
      <c r="M82" s="1847"/>
      <c r="N82" s="1849"/>
      <c r="O82" s="1849"/>
      <c r="P82" s="1850">
        <f>P83+P89</f>
        <v>3000000</v>
      </c>
      <c r="Q82" s="235"/>
      <c r="R82" s="997"/>
      <c r="S82" s="235"/>
      <c r="T82" s="246"/>
    </row>
    <row r="83" spans="1:26" ht="14.45" customHeight="1">
      <c r="A83" s="224"/>
      <c r="B83" s="225"/>
      <c r="C83" s="226"/>
      <c r="D83" s="225"/>
      <c r="E83" s="226"/>
      <c r="F83" s="238" t="s">
        <v>1762</v>
      </c>
      <c r="G83" s="252"/>
      <c r="H83" s="240"/>
      <c r="I83" s="256"/>
      <c r="J83" s="240"/>
      <c r="K83" s="242"/>
      <c r="L83" s="243"/>
      <c r="M83" s="242"/>
      <c r="N83" s="244"/>
      <c r="O83" s="244"/>
      <c r="P83" s="251">
        <f>SUM(P84:P88)</f>
        <v>1000000</v>
      </c>
      <c r="Q83" s="235"/>
      <c r="R83" s="997"/>
      <c r="S83" s="235"/>
      <c r="T83" s="246"/>
    </row>
    <row r="84" spans="1:26" ht="14.45" customHeight="1">
      <c r="A84" s="224"/>
      <c r="B84" s="225"/>
      <c r="C84" s="226"/>
      <c r="D84" s="225"/>
      <c r="E84" s="226"/>
      <c r="F84" s="231" t="s">
        <v>2664</v>
      </c>
      <c r="G84" s="249">
        <v>150000</v>
      </c>
      <c r="H84" s="240" t="s">
        <v>282</v>
      </c>
      <c r="I84" s="256">
        <v>2</v>
      </c>
      <c r="J84" s="240"/>
      <c r="K84" s="242"/>
      <c r="L84" s="243"/>
      <c r="M84" s="242"/>
      <c r="N84" s="244"/>
      <c r="O84" s="244" t="s">
        <v>1520</v>
      </c>
      <c r="P84" s="245">
        <f t="shared" ref="P84:P88" si="5">ROUNDUP(G84*I84,-3)</f>
        <v>300000</v>
      </c>
      <c r="Q84" s="235"/>
      <c r="R84" s="997"/>
      <c r="S84" s="235"/>
      <c r="T84" s="246"/>
    </row>
    <row r="85" spans="1:26" ht="14.45" customHeight="1">
      <c r="A85" s="224"/>
      <c r="B85" s="225"/>
      <c r="C85" s="226"/>
      <c r="D85" s="225"/>
      <c r="E85" s="226"/>
      <c r="F85" s="231" t="s">
        <v>2662</v>
      </c>
      <c r="G85" s="249">
        <v>105000</v>
      </c>
      <c r="H85" s="240" t="s">
        <v>282</v>
      </c>
      <c r="I85" s="256">
        <v>1</v>
      </c>
      <c r="J85" s="240"/>
      <c r="K85" s="242"/>
      <c r="L85" s="243"/>
      <c r="M85" s="242"/>
      <c r="N85" s="244"/>
      <c r="O85" s="244" t="s">
        <v>1520</v>
      </c>
      <c r="P85" s="245">
        <f t="shared" si="5"/>
        <v>105000</v>
      </c>
      <c r="Q85" s="235"/>
      <c r="R85" s="997"/>
      <c r="S85" s="235"/>
      <c r="T85" s="246"/>
    </row>
    <row r="86" spans="1:26" ht="14.45" customHeight="1">
      <c r="A86" s="224"/>
      <c r="B86" s="225"/>
      <c r="C86" s="226"/>
      <c r="D86" s="225"/>
      <c r="E86" s="226"/>
      <c r="F86" s="231" t="s">
        <v>2698</v>
      </c>
      <c r="G86" s="249">
        <v>60000</v>
      </c>
      <c r="H86" s="240" t="s">
        <v>282</v>
      </c>
      <c r="I86" s="256">
        <v>5</v>
      </c>
      <c r="J86" s="240"/>
      <c r="K86" s="242"/>
      <c r="L86" s="243"/>
      <c r="M86" s="242"/>
      <c r="N86" s="244"/>
      <c r="O86" s="244" t="s">
        <v>1520</v>
      </c>
      <c r="P86" s="245">
        <f t="shared" si="5"/>
        <v>300000</v>
      </c>
      <c r="Q86" s="235"/>
      <c r="R86" s="997"/>
      <c r="S86" s="235"/>
      <c r="T86" s="246"/>
    </row>
    <row r="87" spans="1:26" ht="14.45" customHeight="1">
      <c r="A87" s="224"/>
      <c r="B87" s="225"/>
      <c r="C87" s="226"/>
      <c r="D87" s="225"/>
      <c r="E87" s="226"/>
      <c r="F87" s="231" t="s">
        <v>2699</v>
      </c>
      <c r="G87" s="249">
        <v>105000</v>
      </c>
      <c r="H87" s="240" t="s">
        <v>282</v>
      </c>
      <c r="I87" s="256">
        <v>1</v>
      </c>
      <c r="J87" s="240"/>
      <c r="K87" s="242"/>
      <c r="L87" s="243"/>
      <c r="M87" s="242"/>
      <c r="N87" s="244"/>
      <c r="O87" s="244" t="s">
        <v>1520</v>
      </c>
      <c r="P87" s="245">
        <f t="shared" si="5"/>
        <v>105000</v>
      </c>
      <c r="Q87" s="235"/>
      <c r="R87" s="997"/>
      <c r="S87" s="235"/>
      <c r="T87" s="246"/>
    </row>
    <row r="88" spans="1:26" ht="14.45" customHeight="1">
      <c r="A88" s="224"/>
      <c r="B88" s="225"/>
      <c r="C88" s="226"/>
      <c r="D88" s="225"/>
      <c r="E88" s="226"/>
      <c r="F88" s="231" t="s">
        <v>2700</v>
      </c>
      <c r="G88" s="249">
        <v>95000</v>
      </c>
      <c r="H88" s="240" t="s">
        <v>282</v>
      </c>
      <c r="I88" s="256">
        <v>2</v>
      </c>
      <c r="J88" s="240"/>
      <c r="K88" s="242"/>
      <c r="L88" s="243"/>
      <c r="M88" s="242"/>
      <c r="N88" s="244"/>
      <c r="O88" s="244" t="s">
        <v>1520</v>
      </c>
      <c r="P88" s="245">
        <f t="shared" si="5"/>
        <v>190000</v>
      </c>
      <c r="Q88" s="235"/>
      <c r="R88" s="997"/>
      <c r="S88" s="235"/>
      <c r="T88" s="246"/>
    </row>
    <row r="89" spans="1:26" ht="14.45" customHeight="1">
      <c r="A89" s="224"/>
      <c r="B89" s="225"/>
      <c r="C89" s="226"/>
      <c r="D89" s="225"/>
      <c r="E89" s="226"/>
      <c r="F89" s="238" t="s">
        <v>1763</v>
      </c>
      <c r="G89" s="252"/>
      <c r="H89" s="240"/>
      <c r="I89" s="265"/>
      <c r="J89" s="240"/>
      <c r="K89" s="242"/>
      <c r="L89" s="243"/>
      <c r="M89" s="242"/>
      <c r="N89" s="244"/>
      <c r="O89" s="244"/>
      <c r="P89" s="251">
        <f>SUM(P90:P93)</f>
        <v>2000000</v>
      </c>
      <c r="Q89" s="235"/>
      <c r="R89" s="997"/>
      <c r="S89" s="235"/>
      <c r="T89" s="246"/>
    </row>
    <row r="90" spans="1:26" ht="14.45" customHeight="1">
      <c r="A90" s="224"/>
      <c r="B90" s="225"/>
      <c r="C90" s="226"/>
      <c r="D90" s="225"/>
      <c r="E90" s="226"/>
      <c r="F90" s="231" t="s">
        <v>2701</v>
      </c>
      <c r="G90" s="249">
        <v>50000</v>
      </c>
      <c r="H90" s="240" t="s">
        <v>282</v>
      </c>
      <c r="I90" s="256">
        <v>1</v>
      </c>
      <c r="J90" s="240"/>
      <c r="K90" s="242"/>
      <c r="L90" s="243"/>
      <c r="M90" s="242"/>
      <c r="N90" s="244"/>
      <c r="O90" s="244" t="s">
        <v>1520</v>
      </c>
      <c r="P90" s="245">
        <f t="shared" ref="P90:P93" si="6">ROUNDUP(G90*I90,-3)</f>
        <v>50000</v>
      </c>
      <c r="Q90" s="235"/>
      <c r="R90" s="997"/>
      <c r="S90" s="235"/>
      <c r="T90" s="246"/>
    </row>
    <row r="91" spans="1:26" ht="14.45" customHeight="1">
      <c r="A91" s="224"/>
      <c r="B91" s="225"/>
      <c r="C91" s="226"/>
      <c r="D91" s="225"/>
      <c r="E91" s="226"/>
      <c r="F91" s="231" t="s">
        <v>2698</v>
      </c>
      <c r="G91" s="249">
        <v>150000</v>
      </c>
      <c r="H91" s="240" t="s">
        <v>282</v>
      </c>
      <c r="I91" s="256">
        <v>7</v>
      </c>
      <c r="J91" s="240"/>
      <c r="K91" s="242"/>
      <c r="L91" s="243"/>
      <c r="M91" s="242"/>
      <c r="N91" s="244"/>
      <c r="O91" s="244" t="s">
        <v>1520</v>
      </c>
      <c r="P91" s="245">
        <f t="shared" si="6"/>
        <v>1050000</v>
      </c>
      <c r="Q91" s="235"/>
      <c r="R91" s="997"/>
      <c r="S91" s="235"/>
      <c r="T91" s="246"/>
    </row>
    <row r="92" spans="1:26" ht="14.45" customHeight="1">
      <c r="A92" s="224"/>
      <c r="B92" s="225"/>
      <c r="C92" s="226"/>
      <c r="D92" s="225"/>
      <c r="E92" s="226"/>
      <c r="F92" s="231" t="s">
        <v>2702</v>
      </c>
      <c r="G92" s="249">
        <v>250000</v>
      </c>
      <c r="H92" s="240" t="s">
        <v>282</v>
      </c>
      <c r="I92" s="256">
        <v>2</v>
      </c>
      <c r="J92" s="240"/>
      <c r="K92" s="242"/>
      <c r="L92" s="243"/>
      <c r="M92" s="242"/>
      <c r="N92" s="244"/>
      <c r="O92" s="244" t="s">
        <v>1520</v>
      </c>
      <c r="P92" s="245">
        <f t="shared" si="6"/>
        <v>500000</v>
      </c>
      <c r="Q92" s="235"/>
      <c r="R92" s="997"/>
      <c r="S92" s="235"/>
      <c r="T92" s="246"/>
    </row>
    <row r="93" spans="1:26" ht="14.45" customHeight="1">
      <c r="A93" s="224"/>
      <c r="B93" s="225"/>
      <c r="C93" s="226"/>
      <c r="D93" s="225"/>
      <c r="E93" s="226"/>
      <c r="F93" s="231" t="s">
        <v>2700</v>
      </c>
      <c r="G93" s="249">
        <v>200000</v>
      </c>
      <c r="H93" s="240" t="s">
        <v>282</v>
      </c>
      <c r="I93" s="256">
        <v>2</v>
      </c>
      <c r="J93" s="240"/>
      <c r="K93" s="242"/>
      <c r="L93" s="243"/>
      <c r="M93" s="242"/>
      <c r="N93" s="244"/>
      <c r="O93" s="244" t="s">
        <v>1520</v>
      </c>
      <c r="P93" s="245">
        <f t="shared" si="6"/>
        <v>400000</v>
      </c>
      <c r="Q93" s="235"/>
      <c r="R93" s="997"/>
      <c r="S93" s="235"/>
      <c r="T93" s="246"/>
    </row>
    <row r="94" spans="1:26" ht="14.45" customHeight="1">
      <c r="A94" s="224"/>
      <c r="B94" s="225"/>
      <c r="C94" s="226"/>
      <c r="D94" s="225"/>
      <c r="E94" s="226"/>
      <c r="F94" s="1845" t="s">
        <v>1764</v>
      </c>
      <c r="G94" s="1846"/>
      <c r="H94" s="1847"/>
      <c r="I94" s="1851"/>
      <c r="J94" s="1847"/>
      <c r="K94" s="1852"/>
      <c r="L94" s="1853"/>
      <c r="M94" s="1852"/>
      <c r="N94" s="1849"/>
      <c r="O94" s="1849"/>
      <c r="P94" s="1850">
        <f>P95+P100+P105</f>
        <v>10500000</v>
      </c>
      <c r="Q94" s="235"/>
      <c r="R94" s="997"/>
      <c r="S94" s="235"/>
      <c r="T94" s="246"/>
    </row>
    <row r="95" spans="1:26" ht="14.45" customHeight="1">
      <c r="A95" s="224"/>
      <c r="B95" s="225"/>
      <c r="C95" s="226"/>
      <c r="D95" s="225"/>
      <c r="E95" s="226"/>
      <c r="F95" s="248" t="s">
        <v>1765</v>
      </c>
      <c r="G95" s="252"/>
      <c r="H95" s="240"/>
      <c r="I95" s="265"/>
      <c r="J95" s="240"/>
      <c r="K95" s="242"/>
      <c r="L95" s="243"/>
      <c r="M95" s="242"/>
      <c r="N95" s="244"/>
      <c r="O95" s="244"/>
      <c r="P95" s="251">
        <f>SUM(P96:P99)</f>
        <v>2000000</v>
      </c>
      <c r="Q95" s="235"/>
      <c r="R95" s="997"/>
      <c r="S95" s="235"/>
      <c r="T95" s="246"/>
      <c r="Z95" s="275"/>
    </row>
    <row r="96" spans="1:26" ht="14.45" customHeight="1">
      <c r="A96" s="224"/>
      <c r="B96" s="225"/>
      <c r="C96" s="226"/>
      <c r="D96" s="225"/>
      <c r="E96" s="226"/>
      <c r="F96" s="231" t="s">
        <v>2701</v>
      </c>
      <c r="G96" s="249">
        <v>50000</v>
      </c>
      <c r="H96" s="240" t="s">
        <v>282</v>
      </c>
      <c r="I96" s="256">
        <v>1</v>
      </c>
      <c r="J96" s="240"/>
      <c r="K96" s="242"/>
      <c r="L96" s="243"/>
      <c r="M96" s="242"/>
      <c r="N96" s="244"/>
      <c r="O96" s="244" t="s">
        <v>1520</v>
      </c>
      <c r="P96" s="245">
        <f t="shared" ref="P96:P99" si="7">ROUNDUP(G96*I96,-3)</f>
        <v>50000</v>
      </c>
      <c r="Q96" s="235"/>
      <c r="R96" s="997"/>
      <c r="S96" s="235"/>
      <c r="T96" s="246"/>
      <c r="Z96" s="275"/>
    </row>
    <row r="97" spans="1:26" ht="14.45" customHeight="1">
      <c r="A97" s="224"/>
      <c r="B97" s="225"/>
      <c r="C97" s="226"/>
      <c r="D97" s="225"/>
      <c r="E97" s="226"/>
      <c r="F97" s="231" t="s">
        <v>2703</v>
      </c>
      <c r="G97" s="249">
        <v>70000</v>
      </c>
      <c r="H97" s="240" t="s">
        <v>282</v>
      </c>
      <c r="I97" s="256">
        <v>15</v>
      </c>
      <c r="J97" s="240"/>
      <c r="K97" s="242"/>
      <c r="L97" s="243"/>
      <c r="M97" s="242"/>
      <c r="N97" s="244"/>
      <c r="O97" s="244" t="s">
        <v>1520</v>
      </c>
      <c r="P97" s="245">
        <f t="shared" si="7"/>
        <v>1050000</v>
      </c>
      <c r="Q97" s="235"/>
      <c r="R97" s="997"/>
      <c r="S97" s="235"/>
      <c r="T97" s="246"/>
      <c r="Z97" s="275"/>
    </row>
    <row r="98" spans="1:26" ht="14.45" customHeight="1">
      <c r="A98" s="224"/>
      <c r="B98" s="225"/>
      <c r="C98" s="226"/>
      <c r="D98" s="225"/>
      <c r="E98" s="226"/>
      <c r="F98" s="231" t="s">
        <v>2664</v>
      </c>
      <c r="G98" s="249">
        <v>150000</v>
      </c>
      <c r="H98" s="240" t="s">
        <v>282</v>
      </c>
      <c r="I98" s="256">
        <v>3</v>
      </c>
      <c r="J98" s="240"/>
      <c r="K98" s="242"/>
      <c r="L98" s="243"/>
      <c r="M98" s="242"/>
      <c r="N98" s="244"/>
      <c r="O98" s="244" t="s">
        <v>1520</v>
      </c>
      <c r="P98" s="245">
        <f t="shared" si="7"/>
        <v>450000</v>
      </c>
      <c r="Q98" s="235"/>
      <c r="R98" s="997"/>
      <c r="S98" s="235"/>
      <c r="T98" s="246"/>
      <c r="Z98" s="275"/>
    </row>
    <row r="99" spans="1:26" ht="14.45" customHeight="1">
      <c r="A99" s="224"/>
      <c r="B99" s="225"/>
      <c r="C99" s="226"/>
      <c r="D99" s="225"/>
      <c r="E99" s="226"/>
      <c r="F99" s="231" t="s">
        <v>2704</v>
      </c>
      <c r="G99" s="249">
        <v>150000</v>
      </c>
      <c r="H99" s="240" t="s">
        <v>282</v>
      </c>
      <c r="I99" s="256">
        <v>3</v>
      </c>
      <c r="J99" s="240"/>
      <c r="K99" s="242"/>
      <c r="L99" s="243"/>
      <c r="M99" s="242"/>
      <c r="N99" s="244"/>
      <c r="O99" s="244" t="s">
        <v>1520</v>
      </c>
      <c r="P99" s="245">
        <f t="shared" si="7"/>
        <v>450000</v>
      </c>
      <c r="Q99" s="235"/>
      <c r="R99" s="997"/>
      <c r="S99" s="235"/>
      <c r="T99" s="246"/>
      <c r="Z99" s="275"/>
    </row>
    <row r="100" spans="1:26" ht="14.45" customHeight="1">
      <c r="A100" s="224"/>
      <c r="B100" s="225"/>
      <c r="C100" s="226"/>
      <c r="D100" s="225"/>
      <c r="E100" s="226"/>
      <c r="F100" s="238" t="s">
        <v>1766</v>
      </c>
      <c r="G100" s="252"/>
      <c r="H100" s="240"/>
      <c r="I100" s="265"/>
      <c r="J100" s="240"/>
      <c r="K100" s="242"/>
      <c r="L100" s="243"/>
      <c r="M100" s="242"/>
      <c r="N100" s="244"/>
      <c r="O100" s="244"/>
      <c r="P100" s="251">
        <f>SUM(P101:P104)</f>
        <v>2000000</v>
      </c>
      <c r="Q100" s="235"/>
      <c r="R100" s="997"/>
      <c r="S100" s="235"/>
      <c r="T100" s="246"/>
    </row>
    <row r="101" spans="1:26" ht="14.45" customHeight="1">
      <c r="A101" s="224"/>
      <c r="B101" s="225"/>
      <c r="C101" s="226"/>
      <c r="D101" s="225"/>
      <c r="E101" s="226"/>
      <c r="F101" s="231" t="s">
        <v>2705</v>
      </c>
      <c r="G101" s="249">
        <v>200000</v>
      </c>
      <c r="H101" s="240" t="s">
        <v>282</v>
      </c>
      <c r="I101" s="256">
        <v>1</v>
      </c>
      <c r="J101" s="240"/>
      <c r="K101" s="242"/>
      <c r="L101" s="243"/>
      <c r="M101" s="242"/>
      <c r="N101" s="244"/>
      <c r="O101" s="244" t="s">
        <v>1520</v>
      </c>
      <c r="P101" s="245">
        <f t="shared" ref="P101:P104" si="8">ROUNDUP(G101*I101,-3)</f>
        <v>200000</v>
      </c>
      <c r="Q101" s="235"/>
      <c r="R101" s="997"/>
      <c r="S101" s="235"/>
      <c r="T101" s="246"/>
    </row>
    <row r="102" spans="1:26" ht="14.45" customHeight="1">
      <c r="A102" s="224"/>
      <c r="B102" s="225"/>
      <c r="C102" s="226"/>
      <c r="D102" s="225"/>
      <c r="E102" s="226"/>
      <c r="F102" s="231" t="s">
        <v>2706</v>
      </c>
      <c r="G102" s="249">
        <v>150000</v>
      </c>
      <c r="H102" s="240" t="s">
        <v>282</v>
      </c>
      <c r="I102" s="256">
        <v>2</v>
      </c>
      <c r="J102" s="240"/>
      <c r="K102" s="242"/>
      <c r="L102" s="243"/>
      <c r="M102" s="242"/>
      <c r="N102" s="244"/>
      <c r="O102" s="244" t="s">
        <v>1520</v>
      </c>
      <c r="P102" s="245">
        <f t="shared" si="8"/>
        <v>300000</v>
      </c>
      <c r="Q102" s="235"/>
      <c r="R102" s="997"/>
      <c r="S102" s="235"/>
      <c r="T102" s="246"/>
    </row>
    <row r="103" spans="1:26" ht="14.45" customHeight="1">
      <c r="A103" s="224"/>
      <c r="B103" s="225"/>
      <c r="C103" s="226"/>
      <c r="D103" s="225"/>
      <c r="E103" s="226"/>
      <c r="F103" s="231" t="s">
        <v>2707</v>
      </c>
      <c r="G103" s="249">
        <v>500000</v>
      </c>
      <c r="H103" s="240" t="s">
        <v>282</v>
      </c>
      <c r="I103" s="256">
        <v>1</v>
      </c>
      <c r="J103" s="240"/>
      <c r="K103" s="242"/>
      <c r="L103" s="243"/>
      <c r="M103" s="242"/>
      <c r="N103" s="244"/>
      <c r="O103" s="244" t="s">
        <v>1520</v>
      </c>
      <c r="P103" s="245">
        <f t="shared" si="8"/>
        <v>500000</v>
      </c>
      <c r="Q103" s="235"/>
      <c r="R103" s="997"/>
      <c r="S103" s="235"/>
      <c r="T103" s="246"/>
    </row>
    <row r="104" spans="1:26" ht="14.45" customHeight="1">
      <c r="A104" s="224"/>
      <c r="B104" s="225"/>
      <c r="C104" s="226"/>
      <c r="D104" s="225"/>
      <c r="E104" s="226"/>
      <c r="F104" s="231" t="s">
        <v>2708</v>
      </c>
      <c r="G104" s="249">
        <v>200000</v>
      </c>
      <c r="H104" s="240" t="s">
        <v>282</v>
      </c>
      <c r="I104" s="256">
        <v>5</v>
      </c>
      <c r="J104" s="240"/>
      <c r="K104" s="242"/>
      <c r="L104" s="243"/>
      <c r="M104" s="242"/>
      <c r="N104" s="244"/>
      <c r="O104" s="244" t="s">
        <v>1520</v>
      </c>
      <c r="P104" s="245">
        <f t="shared" si="8"/>
        <v>1000000</v>
      </c>
      <c r="Q104" s="235"/>
      <c r="R104" s="997"/>
      <c r="S104" s="235"/>
      <c r="T104" s="246"/>
    </row>
    <row r="105" spans="1:26" ht="14.45" customHeight="1">
      <c r="A105" s="224"/>
      <c r="B105" s="225"/>
      <c r="C105" s="226"/>
      <c r="D105" s="225"/>
      <c r="E105" s="226"/>
      <c r="F105" s="238" t="s">
        <v>1767</v>
      </c>
      <c r="G105" s="252"/>
      <c r="H105" s="240"/>
      <c r="I105" s="265"/>
      <c r="J105" s="240"/>
      <c r="K105" s="242"/>
      <c r="L105" s="243"/>
      <c r="M105" s="242"/>
      <c r="N105" s="244"/>
      <c r="O105" s="244"/>
      <c r="P105" s="251">
        <f>SUM(P106:P109)</f>
        <v>6500000</v>
      </c>
      <c r="Q105" s="235"/>
      <c r="R105" s="997"/>
      <c r="S105" s="235"/>
      <c r="T105" s="246"/>
    </row>
    <row r="106" spans="1:26" ht="14.45" customHeight="1">
      <c r="A106" s="224"/>
      <c r="B106" s="225"/>
      <c r="C106" s="226"/>
      <c r="D106" s="225"/>
      <c r="E106" s="226"/>
      <c r="F106" s="231" t="s">
        <v>2709</v>
      </c>
      <c r="G106" s="249">
        <v>500000</v>
      </c>
      <c r="H106" s="240" t="s">
        <v>282</v>
      </c>
      <c r="I106" s="256">
        <v>2</v>
      </c>
      <c r="J106" s="240"/>
      <c r="K106" s="242"/>
      <c r="L106" s="243"/>
      <c r="M106" s="242"/>
      <c r="N106" s="244"/>
      <c r="O106" s="244" t="s">
        <v>1520</v>
      </c>
      <c r="P106" s="245">
        <f t="shared" ref="P106:P109" si="9">ROUNDUP(G106*I106,-3)</f>
        <v>1000000</v>
      </c>
      <c r="Q106" s="235"/>
      <c r="R106" s="997"/>
      <c r="S106" s="235"/>
      <c r="T106" s="246"/>
    </row>
    <row r="107" spans="1:26" ht="14.45" customHeight="1">
      <c r="A107" s="224"/>
      <c r="B107" s="225"/>
      <c r="C107" s="226"/>
      <c r="D107" s="225"/>
      <c r="E107" s="226"/>
      <c r="F107" s="231" t="s">
        <v>2710</v>
      </c>
      <c r="G107" s="249">
        <v>5140000</v>
      </c>
      <c r="H107" s="240" t="s">
        <v>282</v>
      </c>
      <c r="I107" s="256">
        <v>1</v>
      </c>
      <c r="J107" s="240"/>
      <c r="K107" s="242"/>
      <c r="L107" s="243"/>
      <c r="M107" s="242"/>
      <c r="N107" s="244"/>
      <c r="O107" s="244" t="s">
        <v>1520</v>
      </c>
      <c r="P107" s="245">
        <f t="shared" si="9"/>
        <v>5140000</v>
      </c>
      <c r="Q107" s="235"/>
      <c r="R107" s="997"/>
      <c r="S107" s="235"/>
      <c r="T107" s="246"/>
    </row>
    <row r="108" spans="1:26" ht="14.45" customHeight="1">
      <c r="A108" s="224"/>
      <c r="B108" s="225"/>
      <c r="C108" s="226"/>
      <c r="D108" s="225"/>
      <c r="E108" s="226"/>
      <c r="F108" s="231" t="s">
        <v>2711</v>
      </c>
      <c r="G108" s="249">
        <v>40000</v>
      </c>
      <c r="H108" s="240" t="s">
        <v>282</v>
      </c>
      <c r="I108" s="256">
        <v>3</v>
      </c>
      <c r="J108" s="240"/>
      <c r="K108" s="242"/>
      <c r="L108" s="243"/>
      <c r="M108" s="242"/>
      <c r="N108" s="244"/>
      <c r="O108" s="244" t="s">
        <v>1520</v>
      </c>
      <c r="P108" s="245">
        <f t="shared" si="9"/>
        <v>120000</v>
      </c>
      <c r="Q108" s="235"/>
      <c r="R108" s="997"/>
      <c r="S108" s="235"/>
      <c r="T108" s="246"/>
    </row>
    <row r="109" spans="1:26" ht="14.45" customHeight="1">
      <c r="A109" s="224"/>
      <c r="B109" s="225"/>
      <c r="C109" s="226"/>
      <c r="D109" s="225"/>
      <c r="E109" s="226"/>
      <c r="F109" s="231" t="s">
        <v>2712</v>
      </c>
      <c r="G109" s="249">
        <v>80000</v>
      </c>
      <c r="H109" s="240" t="s">
        <v>282</v>
      </c>
      <c r="I109" s="256">
        <v>3</v>
      </c>
      <c r="J109" s="240"/>
      <c r="K109" s="242"/>
      <c r="L109" s="243"/>
      <c r="M109" s="242"/>
      <c r="N109" s="244"/>
      <c r="O109" s="244" t="s">
        <v>1520</v>
      </c>
      <c r="P109" s="245">
        <f t="shared" si="9"/>
        <v>240000</v>
      </c>
      <c r="Q109" s="235"/>
      <c r="R109" s="997"/>
      <c r="S109" s="235"/>
      <c r="T109" s="246"/>
    </row>
    <row r="110" spans="1:26" ht="14.45" customHeight="1">
      <c r="A110" s="224"/>
      <c r="B110" s="225"/>
      <c r="C110" s="226"/>
      <c r="D110" s="225"/>
      <c r="E110" s="247"/>
      <c r="F110" s="1845" t="s">
        <v>1768</v>
      </c>
      <c r="G110" s="1846"/>
      <c r="H110" s="1847"/>
      <c r="I110" s="1847"/>
      <c r="J110" s="1847"/>
      <c r="K110" s="1847"/>
      <c r="L110" s="1848"/>
      <c r="M110" s="1847"/>
      <c r="N110" s="1849"/>
      <c r="O110" s="1849"/>
      <c r="P110" s="1850">
        <f>P111+P115+P120</f>
        <v>20300000</v>
      </c>
      <c r="Q110" s="235"/>
      <c r="R110" s="997"/>
      <c r="S110" s="235"/>
      <c r="T110" s="246"/>
    </row>
    <row r="111" spans="1:26" ht="14.45" customHeight="1">
      <c r="A111" s="224"/>
      <c r="B111" s="225"/>
      <c r="C111" s="226"/>
      <c r="D111" s="225"/>
      <c r="E111" s="247"/>
      <c r="F111" s="238" t="s">
        <v>1769</v>
      </c>
      <c r="G111" s="252"/>
      <c r="H111" s="240"/>
      <c r="I111" s="265"/>
      <c r="J111" s="240"/>
      <c r="K111" s="242"/>
      <c r="L111" s="243"/>
      <c r="M111" s="242"/>
      <c r="N111" s="244"/>
      <c r="O111" s="244"/>
      <c r="P111" s="251">
        <f>SUM(P112:P114)</f>
        <v>500000</v>
      </c>
      <c r="Q111" s="235"/>
      <c r="R111" s="997"/>
      <c r="S111" s="235"/>
      <c r="T111" s="246"/>
    </row>
    <row r="112" spans="1:26" ht="14.45" customHeight="1">
      <c r="A112" s="224"/>
      <c r="B112" s="225"/>
      <c r="C112" s="226"/>
      <c r="D112" s="225"/>
      <c r="E112" s="247"/>
      <c r="F112" s="231" t="s">
        <v>2713</v>
      </c>
      <c r="G112" s="249">
        <v>60000</v>
      </c>
      <c r="H112" s="240" t="s">
        <v>282</v>
      </c>
      <c r="I112" s="1844">
        <v>6</v>
      </c>
      <c r="J112" s="240"/>
      <c r="K112" s="242"/>
      <c r="L112" s="243"/>
      <c r="M112" s="242"/>
      <c r="N112" s="244"/>
      <c r="O112" s="244" t="s">
        <v>1520</v>
      </c>
      <c r="P112" s="245">
        <f>ROUNDUP(G112*I112,-3)</f>
        <v>360000</v>
      </c>
      <c r="Q112" s="235"/>
      <c r="R112" s="997"/>
      <c r="S112" s="235"/>
      <c r="T112" s="246"/>
    </row>
    <row r="113" spans="1:23" ht="14.45" customHeight="1">
      <c r="A113" s="224"/>
      <c r="B113" s="225"/>
      <c r="C113" s="226"/>
      <c r="D113" s="225"/>
      <c r="E113" s="247"/>
      <c r="F113" s="231" t="s">
        <v>2714</v>
      </c>
      <c r="G113" s="249">
        <v>100000</v>
      </c>
      <c r="H113" s="240" t="s">
        <v>282</v>
      </c>
      <c r="I113" s="256">
        <v>1</v>
      </c>
      <c r="J113" s="240"/>
      <c r="K113" s="242"/>
      <c r="L113" s="243"/>
      <c r="M113" s="242"/>
      <c r="N113" s="244"/>
      <c r="O113" s="244" t="s">
        <v>1520</v>
      </c>
      <c r="P113" s="245">
        <f t="shared" ref="P113:P114" si="10">ROUNDUP(G113*I113,-3)</f>
        <v>100000</v>
      </c>
      <c r="Q113" s="235"/>
      <c r="R113" s="997"/>
      <c r="S113" s="235"/>
      <c r="T113" s="246"/>
    </row>
    <row r="114" spans="1:23" ht="14.45" customHeight="1">
      <c r="A114" s="224"/>
      <c r="B114" s="225"/>
      <c r="C114" s="226"/>
      <c r="D114" s="225"/>
      <c r="E114" s="247"/>
      <c r="F114" s="231" t="s">
        <v>2715</v>
      </c>
      <c r="G114" s="249">
        <v>40000</v>
      </c>
      <c r="H114" s="240" t="s">
        <v>282</v>
      </c>
      <c r="I114" s="256">
        <v>1</v>
      </c>
      <c r="J114" s="240"/>
      <c r="K114" s="242"/>
      <c r="L114" s="243"/>
      <c r="M114" s="242"/>
      <c r="N114" s="244"/>
      <c r="O114" s="244" t="s">
        <v>1520</v>
      </c>
      <c r="P114" s="245">
        <f t="shared" si="10"/>
        <v>40000</v>
      </c>
      <c r="Q114" s="235"/>
      <c r="R114" s="997"/>
      <c r="S114" s="235"/>
      <c r="T114" s="246"/>
    </row>
    <row r="115" spans="1:23" ht="14.45" customHeight="1">
      <c r="A115" s="224"/>
      <c r="B115" s="225"/>
      <c r="C115" s="226"/>
      <c r="D115" s="225"/>
      <c r="E115" s="226"/>
      <c r="F115" s="238" t="s">
        <v>1770</v>
      </c>
      <c r="G115" s="252"/>
      <c r="H115" s="240"/>
      <c r="I115" s="265"/>
      <c r="J115" s="240"/>
      <c r="K115" s="242"/>
      <c r="L115" s="243"/>
      <c r="M115" s="242"/>
      <c r="N115" s="244"/>
      <c r="O115" s="244"/>
      <c r="P115" s="251">
        <f>SUM(P116:P119)</f>
        <v>6500000</v>
      </c>
      <c r="Q115" s="235"/>
      <c r="R115" s="997"/>
      <c r="S115" s="235"/>
      <c r="T115" s="246"/>
      <c r="W115" s="236"/>
    </row>
    <row r="116" spans="1:23" ht="14.45" customHeight="1">
      <c r="A116" s="224"/>
      <c r="B116" s="225"/>
      <c r="C116" s="226"/>
      <c r="D116" s="225"/>
      <c r="E116" s="226"/>
      <c r="F116" s="231" t="s">
        <v>2664</v>
      </c>
      <c r="G116" s="249">
        <v>200000</v>
      </c>
      <c r="H116" s="240" t="s">
        <v>282</v>
      </c>
      <c r="I116" s="256">
        <v>5</v>
      </c>
      <c r="J116" s="240"/>
      <c r="K116" s="242"/>
      <c r="L116" s="243"/>
      <c r="M116" s="242"/>
      <c r="N116" s="244"/>
      <c r="O116" s="244" t="s">
        <v>1520</v>
      </c>
      <c r="P116" s="245">
        <f t="shared" ref="P116:P119" si="11">ROUNDUP(G116*I116,-3)</f>
        <v>1000000</v>
      </c>
      <c r="Q116" s="235"/>
      <c r="R116" s="997"/>
      <c r="S116" s="235"/>
      <c r="T116" s="246"/>
      <c r="W116" s="236"/>
    </row>
    <row r="117" spans="1:23" ht="14.45" customHeight="1">
      <c r="A117" s="224"/>
      <c r="B117" s="225"/>
      <c r="C117" s="226"/>
      <c r="D117" s="225"/>
      <c r="E117" s="226"/>
      <c r="F117" s="231" t="s">
        <v>2716</v>
      </c>
      <c r="G117" s="249">
        <v>100000</v>
      </c>
      <c r="H117" s="240" t="s">
        <v>282</v>
      </c>
      <c r="I117" s="256">
        <v>1</v>
      </c>
      <c r="J117" s="240"/>
      <c r="K117" s="242"/>
      <c r="L117" s="243"/>
      <c r="M117" s="242"/>
      <c r="N117" s="244"/>
      <c r="O117" s="244" t="s">
        <v>1520</v>
      </c>
      <c r="P117" s="245">
        <f t="shared" si="11"/>
        <v>100000</v>
      </c>
      <c r="Q117" s="235"/>
      <c r="R117" s="997"/>
      <c r="S117" s="235"/>
      <c r="T117" s="246"/>
      <c r="W117" s="236"/>
    </row>
    <row r="118" spans="1:23" ht="14.45" customHeight="1">
      <c r="A118" s="224"/>
      <c r="B118" s="225"/>
      <c r="C118" s="226"/>
      <c r="D118" s="225"/>
      <c r="E118" s="226"/>
      <c r="F118" s="231" t="s">
        <v>2717</v>
      </c>
      <c r="G118" s="249">
        <v>50000</v>
      </c>
      <c r="H118" s="240" t="s">
        <v>282</v>
      </c>
      <c r="I118" s="256">
        <v>8</v>
      </c>
      <c r="J118" s="240"/>
      <c r="K118" s="242"/>
      <c r="L118" s="243"/>
      <c r="M118" s="242"/>
      <c r="N118" s="244"/>
      <c r="O118" s="244" t="s">
        <v>1520</v>
      </c>
      <c r="P118" s="245">
        <f t="shared" si="11"/>
        <v>400000</v>
      </c>
      <c r="Q118" s="235"/>
      <c r="R118" s="997"/>
      <c r="S118" s="235"/>
      <c r="T118" s="246"/>
      <c r="W118" s="236"/>
    </row>
    <row r="119" spans="1:23" ht="14.45" customHeight="1">
      <c r="A119" s="224"/>
      <c r="B119" s="225"/>
      <c r="C119" s="226"/>
      <c r="D119" s="225"/>
      <c r="E119" s="226"/>
      <c r="F119" s="231" t="s">
        <v>2718</v>
      </c>
      <c r="G119" s="249">
        <v>5000000</v>
      </c>
      <c r="H119" s="240" t="s">
        <v>282</v>
      </c>
      <c r="I119" s="256">
        <v>1</v>
      </c>
      <c r="J119" s="240"/>
      <c r="K119" s="242"/>
      <c r="L119" s="243"/>
      <c r="M119" s="242"/>
      <c r="N119" s="244"/>
      <c r="O119" s="244" t="s">
        <v>1520</v>
      </c>
      <c r="P119" s="245">
        <f t="shared" si="11"/>
        <v>5000000</v>
      </c>
      <c r="Q119" s="235"/>
      <c r="R119" s="997"/>
      <c r="S119" s="235"/>
      <c r="T119" s="246"/>
      <c r="W119" s="236"/>
    </row>
    <row r="120" spans="1:23" ht="14.45" customHeight="1">
      <c r="A120" s="224"/>
      <c r="B120" s="225"/>
      <c r="C120" s="226"/>
      <c r="D120" s="225"/>
      <c r="E120" s="226"/>
      <c r="F120" s="238" t="s">
        <v>940</v>
      </c>
      <c r="G120" s="249"/>
      <c r="H120" s="240"/>
      <c r="I120" s="265"/>
      <c r="J120" s="240"/>
      <c r="K120" s="240"/>
      <c r="L120" s="250"/>
      <c r="M120" s="240"/>
      <c r="N120" s="244"/>
      <c r="O120" s="244"/>
      <c r="P120" s="251">
        <f>SUM(P121:P127)</f>
        <v>13300000</v>
      </c>
      <c r="Q120" s="235"/>
      <c r="R120" s="997"/>
      <c r="S120" s="235"/>
      <c r="T120" s="246"/>
    </row>
    <row r="121" spans="1:23" ht="14.45" customHeight="1">
      <c r="A121" s="224"/>
      <c r="B121" s="225"/>
      <c r="C121" s="226"/>
      <c r="D121" s="225"/>
      <c r="E121" s="226"/>
      <c r="F121" s="231" t="s">
        <v>2719</v>
      </c>
      <c r="G121" s="249">
        <v>400000</v>
      </c>
      <c r="H121" s="240" t="s">
        <v>282</v>
      </c>
      <c r="I121" s="241">
        <v>15</v>
      </c>
      <c r="J121" s="240"/>
      <c r="K121" s="242"/>
      <c r="L121" s="243"/>
      <c r="M121" s="242"/>
      <c r="N121" s="244"/>
      <c r="O121" s="244" t="s">
        <v>1520</v>
      </c>
      <c r="P121" s="245">
        <f t="shared" ref="P121:P127" si="12">ROUNDUP(G121*I121,-3)</f>
        <v>6000000</v>
      </c>
      <c r="Q121" s="235"/>
      <c r="R121" s="997"/>
      <c r="S121" s="235"/>
      <c r="T121" s="246"/>
      <c r="V121" s="1031"/>
    </row>
    <row r="122" spans="1:23" ht="14.45" customHeight="1">
      <c r="A122" s="224"/>
      <c r="B122" s="225"/>
      <c r="C122" s="226"/>
      <c r="D122" s="225"/>
      <c r="E122" s="226"/>
      <c r="F122" s="231" t="s">
        <v>2720</v>
      </c>
      <c r="G122" s="249">
        <v>300000</v>
      </c>
      <c r="H122" s="240" t="s">
        <v>282</v>
      </c>
      <c r="I122" s="1122">
        <v>6</v>
      </c>
      <c r="J122" s="240"/>
      <c r="K122" s="242"/>
      <c r="L122" s="243"/>
      <c r="M122" s="242"/>
      <c r="N122" s="244"/>
      <c r="O122" s="244" t="s">
        <v>1520</v>
      </c>
      <c r="P122" s="245">
        <f t="shared" si="12"/>
        <v>1800000</v>
      </c>
      <c r="Q122" s="235"/>
      <c r="R122" s="997"/>
      <c r="S122" s="235"/>
      <c r="T122" s="246"/>
    </row>
    <row r="123" spans="1:23" ht="14.45" customHeight="1">
      <c r="A123" s="224"/>
      <c r="B123" s="225"/>
      <c r="C123" s="226"/>
      <c r="D123" s="225"/>
      <c r="E123" s="226"/>
      <c r="F123" s="231" t="s">
        <v>2721</v>
      </c>
      <c r="G123" s="249">
        <v>50000</v>
      </c>
      <c r="H123" s="240" t="s">
        <v>282</v>
      </c>
      <c r="I123" s="256">
        <v>15</v>
      </c>
      <c r="J123" s="240"/>
      <c r="K123" s="242"/>
      <c r="L123" s="243"/>
      <c r="M123" s="242"/>
      <c r="N123" s="244"/>
      <c r="O123" s="244" t="s">
        <v>1520</v>
      </c>
      <c r="P123" s="245">
        <f t="shared" si="12"/>
        <v>750000</v>
      </c>
      <c r="Q123" s="235"/>
      <c r="R123" s="997"/>
      <c r="S123" s="235"/>
      <c r="T123" s="246"/>
    </row>
    <row r="124" spans="1:23" ht="14.45" customHeight="1">
      <c r="A124" s="224"/>
      <c r="B124" s="225"/>
      <c r="C124" s="226"/>
      <c r="D124" s="225"/>
      <c r="E124" s="226"/>
      <c r="F124" s="231" t="s">
        <v>2722</v>
      </c>
      <c r="G124" s="249">
        <v>300000</v>
      </c>
      <c r="H124" s="240" t="s">
        <v>282</v>
      </c>
      <c r="I124" s="256">
        <v>6</v>
      </c>
      <c r="J124" s="240"/>
      <c r="K124" s="242"/>
      <c r="L124" s="243"/>
      <c r="M124" s="242"/>
      <c r="N124" s="244"/>
      <c r="O124" s="244" t="s">
        <v>1520</v>
      </c>
      <c r="P124" s="245">
        <f t="shared" si="12"/>
        <v>1800000</v>
      </c>
      <c r="Q124" s="235"/>
      <c r="R124" s="997"/>
      <c r="S124" s="235"/>
      <c r="T124" s="246"/>
    </row>
    <row r="125" spans="1:23" ht="14.45" customHeight="1">
      <c r="A125" s="224"/>
      <c r="B125" s="225"/>
      <c r="C125" s="226"/>
      <c r="D125" s="225"/>
      <c r="E125" s="226"/>
      <c r="F125" s="231" t="s">
        <v>2723</v>
      </c>
      <c r="G125" s="249">
        <v>300000</v>
      </c>
      <c r="H125" s="240" t="s">
        <v>282</v>
      </c>
      <c r="I125" s="1122">
        <v>6</v>
      </c>
      <c r="J125" s="240"/>
      <c r="K125" s="242"/>
      <c r="L125" s="243"/>
      <c r="M125" s="242"/>
      <c r="N125" s="244"/>
      <c r="O125" s="244" t="s">
        <v>1520</v>
      </c>
      <c r="P125" s="245">
        <f t="shared" si="12"/>
        <v>1800000</v>
      </c>
      <c r="Q125" s="235"/>
      <c r="R125" s="997"/>
      <c r="S125" s="235"/>
      <c r="T125" s="246"/>
    </row>
    <row r="126" spans="1:23" ht="14.45" customHeight="1">
      <c r="A126" s="224"/>
      <c r="B126" s="225"/>
      <c r="C126" s="226"/>
      <c r="D126" s="225"/>
      <c r="E126" s="226"/>
      <c r="F126" s="231" t="s">
        <v>2724</v>
      </c>
      <c r="G126" s="249">
        <v>1000000</v>
      </c>
      <c r="H126" s="240" t="s">
        <v>282</v>
      </c>
      <c r="I126" s="256">
        <v>1</v>
      </c>
      <c r="J126" s="240"/>
      <c r="K126" s="242"/>
      <c r="L126" s="243"/>
      <c r="M126" s="242"/>
      <c r="N126" s="244"/>
      <c r="O126" s="244" t="s">
        <v>1520</v>
      </c>
      <c r="P126" s="245">
        <f t="shared" si="12"/>
        <v>1000000</v>
      </c>
      <c r="Q126" s="235"/>
      <c r="R126" s="997"/>
      <c r="S126" s="235"/>
      <c r="T126" s="246"/>
    </row>
    <row r="127" spans="1:23" ht="14.45" customHeight="1">
      <c r="A127" s="224"/>
      <c r="B127" s="225"/>
      <c r="C127" s="226"/>
      <c r="D127" s="225"/>
      <c r="E127" s="226"/>
      <c r="F127" s="231" t="s">
        <v>2725</v>
      </c>
      <c r="G127" s="249">
        <v>75000</v>
      </c>
      <c r="H127" s="240" t="s">
        <v>282</v>
      </c>
      <c r="I127" s="256">
        <v>2</v>
      </c>
      <c r="J127" s="240"/>
      <c r="K127" s="242"/>
      <c r="L127" s="243"/>
      <c r="M127" s="242"/>
      <c r="N127" s="244"/>
      <c r="O127" s="244" t="s">
        <v>1520</v>
      </c>
      <c r="P127" s="245">
        <f t="shared" si="12"/>
        <v>150000</v>
      </c>
      <c r="Q127" s="235"/>
      <c r="R127" s="997"/>
      <c r="S127" s="235"/>
      <c r="T127" s="246"/>
    </row>
    <row r="128" spans="1:23" ht="14.45" customHeight="1">
      <c r="A128" s="224"/>
      <c r="B128" s="225"/>
      <c r="C128" s="226"/>
      <c r="D128" s="225"/>
      <c r="E128" s="247"/>
      <c r="F128" s="1845" t="s">
        <v>1771</v>
      </c>
      <c r="G128" s="1846"/>
      <c r="H128" s="1847"/>
      <c r="I128" s="1851"/>
      <c r="J128" s="1847"/>
      <c r="K128" s="1852"/>
      <c r="L128" s="1853"/>
      <c r="M128" s="1852"/>
      <c r="N128" s="1849"/>
      <c r="O128" s="1849"/>
      <c r="P128" s="1850">
        <f>P129+P131</f>
        <v>3800000</v>
      </c>
      <c r="Q128" s="235"/>
      <c r="R128" s="997"/>
      <c r="S128" s="235"/>
      <c r="T128" s="246"/>
    </row>
    <row r="129" spans="1:26" ht="14.45" customHeight="1">
      <c r="A129" s="224"/>
      <c r="B129" s="225"/>
      <c r="C129" s="226"/>
      <c r="D129" s="225"/>
      <c r="E129" s="247"/>
      <c r="F129" s="248" t="s">
        <v>1772</v>
      </c>
      <c r="G129" s="252"/>
      <c r="H129" s="240"/>
      <c r="I129" s="265"/>
      <c r="J129" s="240"/>
      <c r="K129" s="242"/>
      <c r="L129" s="243"/>
      <c r="M129" s="242"/>
      <c r="N129" s="244"/>
      <c r="O129" s="244"/>
      <c r="P129" s="251">
        <f>SUM(P130)</f>
        <v>1200000</v>
      </c>
      <c r="Q129" s="235"/>
      <c r="R129" s="997"/>
      <c r="S129" s="235"/>
      <c r="T129" s="246"/>
      <c r="Z129" s="275"/>
    </row>
    <row r="130" spans="1:26" ht="14.45" customHeight="1">
      <c r="A130" s="224"/>
      <c r="B130" s="225"/>
      <c r="C130" s="226"/>
      <c r="D130" s="225"/>
      <c r="E130" s="247"/>
      <c r="F130" s="231" t="s">
        <v>2726</v>
      </c>
      <c r="G130" s="249">
        <v>100000</v>
      </c>
      <c r="H130" s="240" t="s">
        <v>282</v>
      </c>
      <c r="I130" s="242">
        <v>12</v>
      </c>
      <c r="J130" s="240"/>
      <c r="K130" s="242"/>
      <c r="L130" s="243"/>
      <c r="M130" s="242"/>
      <c r="N130" s="244"/>
      <c r="O130" s="244" t="s">
        <v>1520</v>
      </c>
      <c r="P130" s="245">
        <f t="shared" ref="P130" si="13">ROUNDUP(G130*I130,-3)</f>
        <v>1200000</v>
      </c>
      <c r="Q130" s="235"/>
      <c r="R130" s="997"/>
      <c r="S130" s="235"/>
      <c r="T130" s="246"/>
      <c r="Z130" s="275"/>
    </row>
    <row r="131" spans="1:26" ht="14.45" customHeight="1">
      <c r="A131" s="224"/>
      <c r="B131" s="225"/>
      <c r="C131" s="226"/>
      <c r="D131" s="225"/>
      <c r="E131" s="226"/>
      <c r="F131" s="248" t="s">
        <v>1773</v>
      </c>
      <c r="G131" s="252"/>
      <c r="H131" s="240"/>
      <c r="I131" s="265"/>
      <c r="J131" s="240"/>
      <c r="K131" s="242"/>
      <c r="L131" s="243"/>
      <c r="M131" s="242"/>
      <c r="N131" s="244"/>
      <c r="O131" s="244"/>
      <c r="P131" s="251">
        <f>SUM(P132:P135)</f>
        <v>2600000</v>
      </c>
      <c r="Q131" s="235"/>
      <c r="R131" s="997"/>
      <c r="S131" s="235"/>
      <c r="T131" s="246"/>
      <c r="W131" s="236"/>
    </row>
    <row r="132" spans="1:26" ht="14.45" customHeight="1">
      <c r="A132" s="224"/>
      <c r="B132" s="225"/>
      <c r="C132" s="226"/>
      <c r="D132" s="225"/>
      <c r="E132" s="226"/>
      <c r="F132" s="231" t="s">
        <v>2727</v>
      </c>
      <c r="G132" s="249">
        <v>100000</v>
      </c>
      <c r="H132" s="240" t="s">
        <v>282</v>
      </c>
      <c r="I132" s="241">
        <v>6</v>
      </c>
      <c r="J132" s="240"/>
      <c r="K132" s="242"/>
      <c r="L132" s="243"/>
      <c r="M132" s="242"/>
      <c r="N132" s="244"/>
      <c r="O132" s="244" t="s">
        <v>1520</v>
      </c>
      <c r="P132" s="245">
        <f t="shared" ref="P132:P135" si="14">ROUNDUP(G132*I132,-3)</f>
        <v>600000</v>
      </c>
      <c r="Q132" s="235"/>
      <c r="R132" s="997"/>
      <c r="S132" s="235"/>
      <c r="T132" s="246"/>
      <c r="W132" s="236"/>
    </row>
    <row r="133" spans="1:26" ht="14.45" customHeight="1">
      <c r="A133" s="224"/>
      <c r="B133" s="225"/>
      <c r="C133" s="226"/>
      <c r="D133" s="225"/>
      <c r="E133" s="226"/>
      <c r="F133" s="231" t="s">
        <v>2721</v>
      </c>
      <c r="G133" s="249">
        <v>150000</v>
      </c>
      <c r="H133" s="240" t="s">
        <v>282</v>
      </c>
      <c r="I133" s="256">
        <v>6</v>
      </c>
      <c r="J133" s="240"/>
      <c r="K133" s="242"/>
      <c r="L133" s="243"/>
      <c r="M133" s="242"/>
      <c r="N133" s="244"/>
      <c r="O133" s="244" t="s">
        <v>1520</v>
      </c>
      <c r="P133" s="245">
        <f t="shared" si="14"/>
        <v>900000</v>
      </c>
      <c r="Q133" s="235"/>
      <c r="R133" s="997"/>
      <c r="S133" s="235"/>
      <c r="T133" s="246"/>
      <c r="W133" s="236"/>
    </row>
    <row r="134" spans="1:26" ht="14.45" customHeight="1">
      <c r="A134" s="224"/>
      <c r="B134" s="225"/>
      <c r="C134" s="226"/>
      <c r="D134" s="225"/>
      <c r="E134" s="226"/>
      <c r="F134" s="231" t="s">
        <v>2728</v>
      </c>
      <c r="G134" s="249">
        <v>150000</v>
      </c>
      <c r="H134" s="240" t="s">
        <v>282</v>
      </c>
      <c r="I134" s="256">
        <v>6</v>
      </c>
      <c r="J134" s="240"/>
      <c r="K134" s="242"/>
      <c r="L134" s="243"/>
      <c r="M134" s="242"/>
      <c r="N134" s="244"/>
      <c r="O134" s="244" t="s">
        <v>1520</v>
      </c>
      <c r="P134" s="245">
        <f t="shared" si="14"/>
        <v>900000</v>
      </c>
      <c r="Q134" s="235"/>
      <c r="R134" s="997"/>
      <c r="S134" s="235"/>
      <c r="T134" s="246"/>
      <c r="W134" s="236"/>
    </row>
    <row r="135" spans="1:26" ht="14.45" customHeight="1">
      <c r="A135" s="224"/>
      <c r="B135" s="225"/>
      <c r="C135" s="226"/>
      <c r="D135" s="225"/>
      <c r="E135" s="226"/>
      <c r="F135" s="231" t="s">
        <v>2729</v>
      </c>
      <c r="G135" s="249">
        <v>50000</v>
      </c>
      <c r="H135" s="240" t="s">
        <v>282</v>
      </c>
      <c r="I135" s="256">
        <v>4</v>
      </c>
      <c r="J135" s="240"/>
      <c r="K135" s="242"/>
      <c r="L135" s="243"/>
      <c r="M135" s="242"/>
      <c r="N135" s="244"/>
      <c r="O135" s="244" t="s">
        <v>1520</v>
      </c>
      <c r="P135" s="245">
        <f t="shared" si="14"/>
        <v>200000</v>
      </c>
      <c r="Q135" s="235"/>
      <c r="R135" s="997"/>
      <c r="S135" s="235"/>
      <c r="T135" s="246"/>
      <c r="W135" s="236"/>
    </row>
    <row r="136" spans="1:26" ht="14.45" customHeight="1">
      <c r="A136" s="224"/>
      <c r="B136" s="225"/>
      <c r="C136" s="226"/>
      <c r="D136" s="225"/>
      <c r="E136" s="66" t="s">
        <v>2446</v>
      </c>
      <c r="F136" s="269"/>
      <c r="G136" s="270"/>
      <c r="H136" s="268"/>
      <c r="I136" s="268"/>
      <c r="J136" s="268"/>
      <c r="K136" s="268"/>
      <c r="L136" s="1556"/>
      <c r="M136" s="268"/>
      <c r="N136" s="271"/>
      <c r="O136" s="271"/>
      <c r="P136" s="268"/>
      <c r="Q136" s="171">
        <f>P138+P142+P147+P151+P158+P164</f>
        <v>10600000</v>
      </c>
      <c r="R136" s="171">
        <v>0</v>
      </c>
      <c r="S136" s="171">
        <f>Q136-R136</f>
        <v>10600000</v>
      </c>
      <c r="T136" s="172">
        <v>1</v>
      </c>
    </row>
    <row r="137" spans="1:26" ht="14.45" customHeight="1">
      <c r="A137" s="224"/>
      <c r="B137" s="225"/>
      <c r="C137" s="226"/>
      <c r="D137" s="225"/>
      <c r="E137" s="226"/>
      <c r="F137" s="1845" t="s">
        <v>1774</v>
      </c>
      <c r="G137" s="1846"/>
      <c r="H137" s="1847"/>
      <c r="I137" s="1847"/>
      <c r="J137" s="1847"/>
      <c r="K137" s="1847"/>
      <c r="L137" s="1848"/>
      <c r="M137" s="1847"/>
      <c r="N137" s="1849"/>
      <c r="O137" s="1849"/>
      <c r="P137" s="1850">
        <f>P138+P142</f>
        <v>1300000</v>
      </c>
      <c r="Q137" s="235"/>
      <c r="R137" s="997"/>
      <c r="S137" s="235"/>
      <c r="T137" s="246"/>
    </row>
    <row r="138" spans="1:26" ht="14.45" customHeight="1">
      <c r="A138" s="224"/>
      <c r="B138" s="225"/>
      <c r="C138" s="226"/>
      <c r="D138" s="225"/>
      <c r="E138" s="226"/>
      <c r="F138" s="238" t="s">
        <v>1775</v>
      </c>
      <c r="G138" s="252"/>
      <c r="H138" s="240"/>
      <c r="I138" s="265"/>
      <c r="J138" s="240"/>
      <c r="K138" s="242"/>
      <c r="L138" s="243"/>
      <c r="M138" s="242"/>
      <c r="N138" s="244"/>
      <c r="O138" s="244"/>
      <c r="P138" s="251">
        <f>SUM(P139:P141)</f>
        <v>600000</v>
      </c>
      <c r="Q138" s="235"/>
      <c r="R138" s="997"/>
      <c r="S138" s="235"/>
      <c r="T138" s="246"/>
    </row>
    <row r="139" spans="1:26" ht="14.45" customHeight="1">
      <c r="A139" s="224"/>
      <c r="B139" s="225"/>
      <c r="C139" s="226"/>
      <c r="D139" s="225"/>
      <c r="E139" s="226"/>
      <c r="F139" s="231" t="s">
        <v>2727</v>
      </c>
      <c r="G139" s="249">
        <v>200000</v>
      </c>
      <c r="H139" s="240" t="s">
        <v>282</v>
      </c>
      <c r="I139" s="256">
        <v>2</v>
      </c>
      <c r="J139" s="240"/>
      <c r="K139" s="242"/>
      <c r="L139" s="243"/>
      <c r="M139" s="242"/>
      <c r="N139" s="244"/>
      <c r="O139" s="244" t="s">
        <v>1520</v>
      </c>
      <c r="P139" s="245">
        <f t="shared" ref="P139:P141" si="15">ROUNDUP(G139*I139,-3)</f>
        <v>400000</v>
      </c>
      <c r="Q139" s="235"/>
      <c r="R139" s="997"/>
      <c r="S139" s="235"/>
      <c r="T139" s="246"/>
    </row>
    <row r="140" spans="1:26" ht="14.45" customHeight="1">
      <c r="A140" s="224"/>
      <c r="B140" s="225"/>
      <c r="C140" s="226"/>
      <c r="D140" s="225"/>
      <c r="E140" s="226"/>
      <c r="F140" s="231" t="s">
        <v>2716</v>
      </c>
      <c r="G140" s="249">
        <v>50000</v>
      </c>
      <c r="H140" s="240" t="s">
        <v>282</v>
      </c>
      <c r="I140" s="256">
        <v>2</v>
      </c>
      <c r="J140" s="240"/>
      <c r="K140" s="242"/>
      <c r="L140" s="243"/>
      <c r="M140" s="242"/>
      <c r="N140" s="244"/>
      <c r="O140" s="244" t="s">
        <v>1520</v>
      </c>
      <c r="P140" s="245">
        <f t="shared" si="15"/>
        <v>100000</v>
      </c>
      <c r="Q140" s="235"/>
      <c r="R140" s="997"/>
      <c r="S140" s="235"/>
      <c r="T140" s="246"/>
    </row>
    <row r="141" spans="1:26" ht="14.45" customHeight="1">
      <c r="A141" s="224"/>
      <c r="B141" s="225"/>
      <c r="C141" s="226"/>
      <c r="D141" s="225"/>
      <c r="E141" s="226"/>
      <c r="F141" s="231" t="s">
        <v>2717</v>
      </c>
      <c r="G141" s="249">
        <v>50000</v>
      </c>
      <c r="H141" s="240" t="s">
        <v>282</v>
      </c>
      <c r="I141" s="256">
        <v>2</v>
      </c>
      <c r="J141" s="240"/>
      <c r="K141" s="242"/>
      <c r="L141" s="243"/>
      <c r="M141" s="242"/>
      <c r="N141" s="244"/>
      <c r="O141" s="244" t="s">
        <v>1520</v>
      </c>
      <c r="P141" s="245">
        <f t="shared" si="15"/>
        <v>100000</v>
      </c>
      <c r="Q141" s="235"/>
      <c r="R141" s="997"/>
      <c r="S141" s="235"/>
      <c r="T141" s="246"/>
    </row>
    <row r="142" spans="1:26" ht="14.45" customHeight="1">
      <c r="A142" s="224"/>
      <c r="B142" s="225"/>
      <c r="C142" s="226"/>
      <c r="D142" s="225"/>
      <c r="E142" s="226"/>
      <c r="F142" s="238" t="s">
        <v>1776</v>
      </c>
      <c r="G142" s="252"/>
      <c r="H142" s="240"/>
      <c r="I142" s="265"/>
      <c r="J142" s="240"/>
      <c r="K142" s="242"/>
      <c r="L142" s="243"/>
      <c r="M142" s="242"/>
      <c r="N142" s="244"/>
      <c r="O142" s="244"/>
      <c r="P142" s="251">
        <f>SUM(P143:P145)</f>
        <v>700000</v>
      </c>
      <c r="Q142" s="235"/>
      <c r="R142" s="997"/>
      <c r="S142" s="235"/>
      <c r="T142" s="246"/>
    </row>
    <row r="143" spans="1:26" ht="14.45" customHeight="1">
      <c r="A143" s="224"/>
      <c r="B143" s="225"/>
      <c r="C143" s="226"/>
      <c r="D143" s="225"/>
      <c r="E143" s="226"/>
      <c r="F143" s="231" t="s">
        <v>2662</v>
      </c>
      <c r="G143" s="249">
        <v>100000</v>
      </c>
      <c r="H143" s="240" t="s">
        <v>282</v>
      </c>
      <c r="I143" s="256">
        <v>1</v>
      </c>
      <c r="J143" s="240"/>
      <c r="K143" s="242"/>
      <c r="L143" s="243"/>
      <c r="M143" s="242"/>
      <c r="N143" s="244"/>
      <c r="O143" s="244" t="s">
        <v>1520</v>
      </c>
      <c r="P143" s="245">
        <f t="shared" ref="P143:P145" si="16">ROUNDUP(G143*I143,-3)</f>
        <v>100000</v>
      </c>
      <c r="Q143" s="235"/>
      <c r="R143" s="997"/>
      <c r="S143" s="235"/>
      <c r="T143" s="246"/>
    </row>
    <row r="144" spans="1:26" ht="14.45" customHeight="1">
      <c r="A144" s="224"/>
      <c r="B144" s="225"/>
      <c r="C144" s="226"/>
      <c r="D144" s="225"/>
      <c r="E144" s="226"/>
      <c r="F144" s="231" t="s">
        <v>2716</v>
      </c>
      <c r="G144" s="249">
        <v>50000</v>
      </c>
      <c r="H144" s="240" t="s">
        <v>282</v>
      </c>
      <c r="I144" s="256">
        <v>6</v>
      </c>
      <c r="J144" s="240"/>
      <c r="K144" s="242"/>
      <c r="L144" s="243"/>
      <c r="M144" s="242"/>
      <c r="N144" s="244"/>
      <c r="O144" s="244" t="s">
        <v>1520</v>
      </c>
      <c r="P144" s="245">
        <f t="shared" si="16"/>
        <v>300000</v>
      </c>
      <c r="Q144" s="235"/>
      <c r="R144" s="997"/>
      <c r="S144" s="235"/>
      <c r="T144" s="246"/>
    </row>
    <row r="145" spans="1:20" ht="14.45" customHeight="1">
      <c r="A145" s="224"/>
      <c r="B145" s="225"/>
      <c r="C145" s="226"/>
      <c r="D145" s="225"/>
      <c r="E145" s="226"/>
      <c r="F145" s="231" t="s">
        <v>2730</v>
      </c>
      <c r="G145" s="249">
        <v>50000</v>
      </c>
      <c r="H145" s="240" t="s">
        <v>282</v>
      </c>
      <c r="I145" s="256">
        <v>6</v>
      </c>
      <c r="J145" s="240"/>
      <c r="K145" s="242"/>
      <c r="L145" s="243"/>
      <c r="M145" s="242"/>
      <c r="N145" s="244"/>
      <c r="O145" s="244" t="s">
        <v>1520</v>
      </c>
      <c r="P145" s="245">
        <f t="shared" si="16"/>
        <v>300000</v>
      </c>
      <c r="Q145" s="235"/>
      <c r="R145" s="997"/>
      <c r="S145" s="235"/>
      <c r="T145" s="246"/>
    </row>
    <row r="146" spans="1:20" ht="14.45" customHeight="1">
      <c r="A146" s="224"/>
      <c r="B146" s="225"/>
      <c r="C146" s="226"/>
      <c r="D146" s="225"/>
      <c r="E146" s="226"/>
      <c r="F146" s="1845" t="s">
        <v>1777</v>
      </c>
      <c r="G146" s="1846"/>
      <c r="H146" s="1847"/>
      <c r="I146" s="1847"/>
      <c r="J146" s="1847"/>
      <c r="K146" s="1847"/>
      <c r="L146" s="1848"/>
      <c r="M146" s="1847"/>
      <c r="N146" s="1849"/>
      <c r="O146" s="1849"/>
      <c r="P146" s="1850">
        <f>SUM(P147)</f>
        <v>300000</v>
      </c>
      <c r="Q146" s="235"/>
      <c r="R146" s="997"/>
      <c r="S146" s="235"/>
      <c r="T146" s="246"/>
    </row>
    <row r="147" spans="1:20" ht="14.45" customHeight="1">
      <c r="A147" s="224"/>
      <c r="B147" s="225"/>
      <c r="C147" s="226"/>
      <c r="D147" s="225"/>
      <c r="E147" s="226"/>
      <c r="F147" s="238" t="s">
        <v>1778</v>
      </c>
      <c r="G147" s="252"/>
      <c r="H147" s="240"/>
      <c r="I147" s="265"/>
      <c r="J147" s="240"/>
      <c r="K147" s="242"/>
      <c r="L147" s="243"/>
      <c r="M147" s="242"/>
      <c r="N147" s="244"/>
      <c r="O147" s="244"/>
      <c r="P147" s="251">
        <f>SUM(P148:P149)</f>
        <v>300000</v>
      </c>
      <c r="Q147" s="235"/>
      <c r="R147" s="997"/>
      <c r="S147" s="235"/>
      <c r="T147" s="246"/>
    </row>
    <row r="148" spans="1:20" ht="14.45" customHeight="1">
      <c r="A148" s="224"/>
      <c r="B148" s="225"/>
      <c r="C148" s="226"/>
      <c r="D148" s="225"/>
      <c r="E148" s="226"/>
      <c r="F148" s="231" t="s">
        <v>2727</v>
      </c>
      <c r="G148" s="249">
        <v>150000</v>
      </c>
      <c r="H148" s="240" t="s">
        <v>282</v>
      </c>
      <c r="I148" s="256">
        <v>1</v>
      </c>
      <c r="J148" s="240"/>
      <c r="K148" s="242"/>
      <c r="L148" s="243"/>
      <c r="M148" s="242"/>
      <c r="N148" s="244"/>
      <c r="O148" s="244" t="s">
        <v>1520</v>
      </c>
      <c r="P148" s="245">
        <f t="shared" ref="P148:P149" si="17">ROUNDUP(G148*I148,-3)</f>
        <v>150000</v>
      </c>
      <c r="Q148" s="235"/>
      <c r="R148" s="997"/>
      <c r="S148" s="235"/>
      <c r="T148" s="246"/>
    </row>
    <row r="149" spans="1:20" ht="14.45" customHeight="1">
      <c r="A149" s="224"/>
      <c r="B149" s="225"/>
      <c r="C149" s="226"/>
      <c r="D149" s="225"/>
      <c r="E149" s="226"/>
      <c r="F149" s="231" t="s">
        <v>2717</v>
      </c>
      <c r="G149" s="249">
        <v>50000</v>
      </c>
      <c r="H149" s="240" t="s">
        <v>282</v>
      </c>
      <c r="I149" s="256">
        <v>3</v>
      </c>
      <c r="J149" s="240"/>
      <c r="K149" s="242"/>
      <c r="L149" s="243"/>
      <c r="M149" s="242"/>
      <c r="N149" s="244"/>
      <c r="O149" s="244" t="s">
        <v>1520</v>
      </c>
      <c r="P149" s="245">
        <f t="shared" si="17"/>
        <v>150000</v>
      </c>
      <c r="Q149" s="235"/>
      <c r="R149" s="997"/>
      <c r="S149" s="235"/>
      <c r="T149" s="246"/>
    </row>
    <row r="150" spans="1:20" ht="14.45" customHeight="1">
      <c r="A150" s="224"/>
      <c r="B150" s="225"/>
      <c r="C150" s="226"/>
      <c r="D150" s="225"/>
      <c r="E150" s="226"/>
      <c r="F150" s="1845" t="s">
        <v>1779</v>
      </c>
      <c r="G150" s="1846"/>
      <c r="H150" s="1847"/>
      <c r="I150" s="1851"/>
      <c r="J150" s="1847"/>
      <c r="K150" s="1852"/>
      <c r="L150" s="1853"/>
      <c r="M150" s="1852"/>
      <c r="N150" s="1849"/>
      <c r="O150" s="1849"/>
      <c r="P150" s="1850">
        <f>SUM(P151)</f>
        <v>6000000</v>
      </c>
      <c r="Q150" s="235"/>
      <c r="R150" s="997"/>
      <c r="S150" s="235"/>
      <c r="T150" s="246"/>
    </row>
    <row r="151" spans="1:20" ht="14.45" customHeight="1">
      <c r="A151" s="224"/>
      <c r="B151" s="225"/>
      <c r="C151" s="226"/>
      <c r="D151" s="225"/>
      <c r="E151" s="226"/>
      <c r="F151" s="248" t="s">
        <v>1780</v>
      </c>
      <c r="G151" s="252"/>
      <c r="H151" s="240"/>
      <c r="I151" s="265"/>
      <c r="J151" s="240"/>
      <c r="K151" s="242"/>
      <c r="L151" s="243"/>
      <c r="M151" s="242"/>
      <c r="N151" s="244"/>
      <c r="O151" s="244"/>
      <c r="P151" s="251">
        <f>SUM(P152:P156)</f>
        <v>6000000</v>
      </c>
      <c r="Q151" s="235"/>
      <c r="R151" s="997"/>
      <c r="S151" s="235"/>
      <c r="T151" s="246"/>
    </row>
    <row r="152" spans="1:20" ht="14.45" customHeight="1">
      <c r="A152" s="224"/>
      <c r="B152" s="225"/>
      <c r="C152" s="226"/>
      <c r="D152" s="225"/>
      <c r="E152" s="226"/>
      <c r="F152" s="231" t="s">
        <v>2701</v>
      </c>
      <c r="G152" s="249">
        <v>300000</v>
      </c>
      <c r="H152" s="240" t="s">
        <v>282</v>
      </c>
      <c r="I152" s="256">
        <v>1</v>
      </c>
      <c r="J152" s="240"/>
      <c r="K152" s="242"/>
      <c r="L152" s="243"/>
      <c r="M152" s="242"/>
      <c r="N152" s="244"/>
      <c r="O152" s="244" t="s">
        <v>1520</v>
      </c>
      <c r="P152" s="245">
        <f t="shared" ref="P152:P155" si="18">ROUNDUP(G152*I152,-3)</f>
        <v>300000</v>
      </c>
      <c r="Q152" s="235"/>
      <c r="R152" s="997"/>
      <c r="S152" s="235"/>
      <c r="T152" s="246"/>
    </row>
    <row r="153" spans="1:20" ht="14.45" customHeight="1">
      <c r="A153" s="224"/>
      <c r="B153" s="225"/>
      <c r="C153" s="226"/>
      <c r="D153" s="225"/>
      <c r="E153" s="226"/>
      <c r="F153" s="231" t="s">
        <v>2731</v>
      </c>
      <c r="G153" s="249">
        <v>300000</v>
      </c>
      <c r="H153" s="240" t="s">
        <v>282</v>
      </c>
      <c r="I153" s="256">
        <v>1</v>
      </c>
      <c r="J153" s="240"/>
      <c r="K153" s="242"/>
      <c r="L153" s="243"/>
      <c r="M153" s="242"/>
      <c r="N153" s="244"/>
      <c r="O153" s="244" t="s">
        <v>1520</v>
      </c>
      <c r="P153" s="245">
        <f t="shared" si="18"/>
        <v>300000</v>
      </c>
      <c r="Q153" s="235"/>
      <c r="R153" s="997"/>
      <c r="S153" s="235"/>
      <c r="T153" s="246"/>
    </row>
    <row r="154" spans="1:20" ht="14.45" customHeight="1">
      <c r="A154" s="224"/>
      <c r="B154" s="225"/>
      <c r="C154" s="226"/>
      <c r="D154" s="225"/>
      <c r="E154" s="226"/>
      <c r="F154" s="231" t="s">
        <v>2698</v>
      </c>
      <c r="G154" s="249">
        <v>50000</v>
      </c>
      <c r="H154" s="240" t="s">
        <v>282</v>
      </c>
      <c r="I154" s="256">
        <v>4</v>
      </c>
      <c r="J154" s="240"/>
      <c r="K154" s="242"/>
      <c r="L154" s="243"/>
      <c r="M154" s="242"/>
      <c r="N154" s="244"/>
      <c r="O154" s="244" t="s">
        <v>1520</v>
      </c>
      <c r="P154" s="245">
        <f t="shared" si="18"/>
        <v>200000</v>
      </c>
      <c r="Q154" s="235"/>
      <c r="R154" s="997"/>
      <c r="S154" s="235"/>
      <c r="T154" s="246"/>
    </row>
    <row r="155" spans="1:20" ht="14.45" customHeight="1">
      <c r="A155" s="224"/>
      <c r="B155" s="225"/>
      <c r="C155" s="226"/>
      <c r="D155" s="225"/>
      <c r="E155" s="226"/>
      <c r="F155" s="231" t="s">
        <v>2732</v>
      </c>
      <c r="G155" s="249">
        <v>5000000</v>
      </c>
      <c r="H155" s="240" t="s">
        <v>282</v>
      </c>
      <c r="I155" s="256">
        <v>1</v>
      </c>
      <c r="J155" s="240"/>
      <c r="K155" s="242"/>
      <c r="L155" s="243"/>
      <c r="M155" s="242"/>
      <c r="N155" s="244"/>
      <c r="O155" s="244" t="s">
        <v>1520</v>
      </c>
      <c r="P155" s="245">
        <f t="shared" si="18"/>
        <v>5000000</v>
      </c>
      <c r="Q155" s="235"/>
      <c r="R155" s="997"/>
      <c r="S155" s="235"/>
      <c r="T155" s="246"/>
    </row>
    <row r="156" spans="1:20" ht="14.45" customHeight="1">
      <c r="A156" s="224"/>
      <c r="B156" s="225"/>
      <c r="C156" s="226"/>
      <c r="D156" s="225"/>
      <c r="E156" s="226"/>
      <c r="F156" s="231" t="s">
        <v>2733</v>
      </c>
      <c r="G156" s="249">
        <v>200000</v>
      </c>
      <c r="H156" s="240" t="s">
        <v>282</v>
      </c>
      <c r="I156" s="256">
        <v>1</v>
      </c>
      <c r="J156" s="240"/>
      <c r="K156" s="242"/>
      <c r="L156" s="243"/>
      <c r="M156" s="242"/>
      <c r="N156" s="244"/>
      <c r="O156" s="244" t="s">
        <v>1520</v>
      </c>
      <c r="P156" s="245">
        <f t="shared" ref="P156" si="19">ROUNDUP(G156*I156,-3)</f>
        <v>200000</v>
      </c>
      <c r="Q156" s="235"/>
      <c r="R156" s="997"/>
      <c r="S156" s="235"/>
      <c r="T156" s="246"/>
    </row>
    <row r="157" spans="1:20" ht="14.45" customHeight="1">
      <c r="A157" s="224"/>
      <c r="B157" s="225"/>
      <c r="C157" s="226"/>
      <c r="D157" s="225"/>
      <c r="E157" s="247"/>
      <c r="F157" s="1845" t="s">
        <v>1781</v>
      </c>
      <c r="G157" s="1846"/>
      <c r="H157" s="1847"/>
      <c r="I157" s="1851"/>
      <c r="J157" s="1847"/>
      <c r="K157" s="1852"/>
      <c r="L157" s="1853"/>
      <c r="M157" s="1852"/>
      <c r="N157" s="1849"/>
      <c r="O157" s="1849"/>
      <c r="P157" s="1850">
        <f>SUM(P158:P164)</f>
        <v>5000000</v>
      </c>
      <c r="Q157" s="235"/>
      <c r="R157" s="997"/>
      <c r="S157" s="235"/>
      <c r="T157" s="246"/>
    </row>
    <row r="158" spans="1:20" ht="14.45" customHeight="1">
      <c r="A158" s="224"/>
      <c r="B158" s="225"/>
      <c r="C158" s="226"/>
      <c r="D158" s="225"/>
      <c r="E158" s="247"/>
      <c r="F158" s="248" t="s">
        <v>1782</v>
      </c>
      <c r="G158" s="252"/>
      <c r="H158" s="240"/>
      <c r="I158" s="265"/>
      <c r="J158" s="240"/>
      <c r="K158" s="242"/>
      <c r="L158" s="243"/>
      <c r="M158" s="242"/>
      <c r="N158" s="244"/>
      <c r="O158" s="244"/>
      <c r="P158" s="251">
        <f>SUM(P159:P163)</f>
        <v>2000000</v>
      </c>
      <c r="Q158" s="235"/>
      <c r="R158" s="997"/>
      <c r="S158" s="235"/>
      <c r="T158" s="246"/>
    </row>
    <row r="159" spans="1:20" ht="14.45" customHeight="1">
      <c r="A159" s="224"/>
      <c r="B159" s="225"/>
      <c r="C159" s="226"/>
      <c r="D159" s="225"/>
      <c r="E159" s="247"/>
      <c r="F159" s="231" t="s">
        <v>2698</v>
      </c>
      <c r="G159" s="249">
        <v>3000</v>
      </c>
      <c r="H159" s="240" t="s">
        <v>282</v>
      </c>
      <c r="I159" s="241">
        <v>10</v>
      </c>
      <c r="J159" s="240" t="s">
        <v>282</v>
      </c>
      <c r="K159" s="256">
        <v>24</v>
      </c>
      <c r="L159" s="243"/>
      <c r="M159" s="242"/>
      <c r="N159" s="244"/>
      <c r="O159" s="244" t="s">
        <v>1520</v>
      </c>
      <c r="P159" s="245">
        <f>ROUNDUP(G159*I159*K159,-3)</f>
        <v>720000</v>
      </c>
      <c r="Q159" s="235"/>
      <c r="R159" s="997"/>
      <c r="S159" s="235"/>
      <c r="T159" s="246"/>
    </row>
    <row r="160" spans="1:20" ht="14.45" customHeight="1">
      <c r="A160" s="224"/>
      <c r="B160" s="225"/>
      <c r="C160" s="226"/>
      <c r="D160" s="225"/>
      <c r="E160" s="247"/>
      <c r="F160" s="231" t="s">
        <v>2734</v>
      </c>
      <c r="G160" s="249">
        <v>300000</v>
      </c>
      <c r="H160" s="240" t="s">
        <v>282</v>
      </c>
      <c r="I160" s="256">
        <v>2</v>
      </c>
      <c r="J160" s="240"/>
      <c r="K160" s="242"/>
      <c r="L160" s="243"/>
      <c r="M160" s="242"/>
      <c r="N160" s="244"/>
      <c r="O160" s="244" t="s">
        <v>1520</v>
      </c>
      <c r="P160" s="245">
        <f t="shared" ref="P160:P162" si="20">ROUNDUP(G160*I160,-3)</f>
        <v>600000</v>
      </c>
      <c r="Q160" s="235"/>
      <c r="R160" s="997"/>
      <c r="S160" s="235"/>
      <c r="T160" s="246"/>
    </row>
    <row r="161" spans="1:28" ht="14.45" customHeight="1">
      <c r="A161" s="224"/>
      <c r="B161" s="225"/>
      <c r="C161" s="226"/>
      <c r="D161" s="225"/>
      <c r="E161" s="247"/>
      <c r="F161" s="231" t="s">
        <v>2735</v>
      </c>
      <c r="G161" s="249">
        <v>50000</v>
      </c>
      <c r="H161" s="240" t="s">
        <v>282</v>
      </c>
      <c r="I161" s="241">
        <v>10</v>
      </c>
      <c r="J161" s="240" t="s">
        <v>282</v>
      </c>
      <c r="K161" s="256">
        <v>1</v>
      </c>
      <c r="L161" s="243"/>
      <c r="M161" s="242"/>
      <c r="N161" s="244"/>
      <c r="O161" s="244" t="s">
        <v>1520</v>
      </c>
      <c r="P161" s="245">
        <f>ROUNDUP(G161*I161*K161,-3)</f>
        <v>500000</v>
      </c>
      <c r="Q161" s="235"/>
      <c r="R161" s="997"/>
      <c r="S161" s="235"/>
      <c r="T161" s="246"/>
    </row>
    <row r="162" spans="1:28" ht="14.45" customHeight="1">
      <c r="A162" s="224"/>
      <c r="B162" s="225"/>
      <c r="C162" s="226"/>
      <c r="D162" s="225"/>
      <c r="E162" s="247"/>
      <c r="F162" s="231" t="s">
        <v>2736</v>
      </c>
      <c r="G162" s="249">
        <v>110000</v>
      </c>
      <c r="H162" s="240" t="s">
        <v>282</v>
      </c>
      <c r="I162" s="256">
        <v>1</v>
      </c>
      <c r="J162" s="240"/>
      <c r="K162" s="242"/>
      <c r="L162" s="243"/>
      <c r="M162" s="242"/>
      <c r="N162" s="244"/>
      <c r="O162" s="244" t="s">
        <v>1520</v>
      </c>
      <c r="P162" s="245">
        <f t="shared" si="20"/>
        <v>110000</v>
      </c>
      <c r="Q162" s="235"/>
      <c r="R162" s="997"/>
      <c r="S162" s="235"/>
      <c r="T162" s="246"/>
    </row>
    <row r="163" spans="1:28" ht="14.45" customHeight="1">
      <c r="A163" s="224"/>
      <c r="B163" s="225"/>
      <c r="C163" s="226"/>
      <c r="D163" s="225"/>
      <c r="E163" s="247"/>
      <c r="F163" s="231" t="s">
        <v>2733</v>
      </c>
      <c r="G163" s="249">
        <v>7000</v>
      </c>
      <c r="H163" s="240" t="s">
        <v>282</v>
      </c>
      <c r="I163" s="241">
        <v>10</v>
      </c>
      <c r="J163" s="240" t="s">
        <v>282</v>
      </c>
      <c r="K163" s="256">
        <v>1</v>
      </c>
      <c r="L163" s="243"/>
      <c r="M163" s="242"/>
      <c r="N163" s="244"/>
      <c r="O163" s="244" t="s">
        <v>1520</v>
      </c>
      <c r="P163" s="245">
        <f>ROUNDUP(G163*I163*K163,-3)</f>
        <v>70000</v>
      </c>
      <c r="Q163" s="235"/>
      <c r="R163" s="997"/>
      <c r="S163" s="235"/>
      <c r="T163" s="246"/>
    </row>
    <row r="164" spans="1:28" ht="14.45" customHeight="1">
      <c r="A164" s="224"/>
      <c r="B164" s="225"/>
      <c r="C164" s="226"/>
      <c r="D164" s="225"/>
      <c r="E164" s="226"/>
      <c r="F164" s="248" t="s">
        <v>1783</v>
      </c>
      <c r="G164" s="252"/>
      <c r="H164" s="240"/>
      <c r="I164" s="265"/>
      <c r="J164" s="240"/>
      <c r="K164" s="242"/>
      <c r="L164" s="243"/>
      <c r="M164" s="242"/>
      <c r="N164" s="244"/>
      <c r="O164" s="244"/>
      <c r="P164" s="251">
        <f>SUM(P165)</f>
        <v>1000000</v>
      </c>
      <c r="Q164" s="235"/>
      <c r="R164" s="997"/>
      <c r="S164" s="235"/>
      <c r="T164" s="246"/>
      <c r="W164" s="236"/>
    </row>
    <row r="165" spans="1:28" ht="14.45" customHeight="1">
      <c r="A165" s="224"/>
      <c r="B165" s="225"/>
      <c r="C165" s="226"/>
      <c r="D165" s="225"/>
      <c r="E165" s="226"/>
      <c r="F165" s="231" t="s">
        <v>2737</v>
      </c>
      <c r="G165" s="249">
        <v>500000</v>
      </c>
      <c r="H165" s="240" t="s">
        <v>282</v>
      </c>
      <c r="I165" s="256">
        <v>2</v>
      </c>
      <c r="J165" s="240"/>
      <c r="K165" s="256"/>
      <c r="L165" s="243"/>
      <c r="M165" s="242"/>
      <c r="N165" s="244"/>
      <c r="O165" s="244" t="s">
        <v>1520</v>
      </c>
      <c r="P165" s="245">
        <f>ROUNDUP(G165*I165,-3)</f>
        <v>1000000</v>
      </c>
      <c r="Q165" s="235"/>
      <c r="R165" s="997"/>
      <c r="S165" s="235"/>
      <c r="T165" s="246"/>
      <c r="W165" s="236"/>
    </row>
    <row r="166" spans="1:28" ht="14.45" customHeight="1">
      <c r="A166" s="224"/>
      <c r="B166" s="222"/>
      <c r="C166" s="214" t="s">
        <v>1784</v>
      </c>
      <c r="D166" s="266"/>
      <c r="E166" s="214"/>
      <c r="F166" s="215"/>
      <c r="G166" s="216"/>
      <c r="H166" s="217"/>
      <c r="I166" s="217"/>
      <c r="J166" s="217"/>
      <c r="K166" s="217"/>
      <c r="L166" s="218"/>
      <c r="M166" s="217"/>
      <c r="N166" s="219"/>
      <c r="O166" s="219"/>
      <c r="P166" s="217"/>
      <c r="Q166" s="220">
        <f>SUM(Q167)</f>
        <v>125950000</v>
      </c>
      <c r="R166" s="220">
        <f>SUM(R167)</f>
        <v>107920000</v>
      </c>
      <c r="S166" s="220">
        <f>Q166-R166</f>
        <v>18030000</v>
      </c>
      <c r="T166" s="274">
        <f t="shared" si="4"/>
        <v>0.16706819866567829</v>
      </c>
    </row>
    <row r="167" spans="1:28" ht="14.45" customHeight="1">
      <c r="A167" s="224"/>
      <c r="B167" s="222"/>
      <c r="C167" s="223"/>
      <c r="D167" s="394" t="s">
        <v>1785</v>
      </c>
      <c r="E167" s="84"/>
      <c r="F167" s="85"/>
      <c r="G167" s="86"/>
      <c r="H167" s="84"/>
      <c r="I167" s="84"/>
      <c r="J167" s="84"/>
      <c r="K167" s="84"/>
      <c r="L167" s="83"/>
      <c r="M167" s="84"/>
      <c r="N167" s="87"/>
      <c r="O167" s="87"/>
      <c r="P167" s="84"/>
      <c r="Q167" s="76">
        <f>SUM(Q168,Q174,Q179,Q182,Q186,Q190,Q208,Q212,Q221,Q229,Q233,Q245,Q199,Q204,Q216)</f>
        <v>125950000</v>
      </c>
      <c r="R167" s="76">
        <f>SUM(R168:R264)</f>
        <v>107920000</v>
      </c>
      <c r="S167" s="76">
        <f>Q167-R167</f>
        <v>18030000</v>
      </c>
      <c r="T167" s="573">
        <f t="shared" si="4"/>
        <v>0.16706819866567829</v>
      </c>
    </row>
    <row r="168" spans="1:28" ht="14.45" customHeight="1">
      <c r="A168" s="224"/>
      <c r="B168" s="225"/>
      <c r="C168" s="226"/>
      <c r="D168" s="225"/>
      <c r="E168" s="66" t="s">
        <v>1786</v>
      </c>
      <c r="F168" s="227"/>
      <c r="G168" s="228"/>
      <c r="H168" s="66"/>
      <c r="I168" s="66"/>
      <c r="J168" s="66"/>
      <c r="K168" s="66"/>
      <c r="L168" s="229"/>
      <c r="M168" s="66"/>
      <c r="N168" s="230"/>
      <c r="O168" s="230"/>
      <c r="P168" s="66"/>
      <c r="Q168" s="171">
        <f>P169+P172</f>
        <v>9368000</v>
      </c>
      <c r="R168" s="171">
        <v>4466000</v>
      </c>
      <c r="S168" s="171">
        <f>Q168-R168</f>
        <v>4902000</v>
      </c>
      <c r="T168" s="172">
        <f t="shared" si="4"/>
        <v>1.0976265114196149</v>
      </c>
      <c r="W168" s="196">
        <v>2018</v>
      </c>
      <c r="X168" s="196">
        <v>2017</v>
      </c>
    </row>
    <row r="169" spans="1:28" ht="14.45" customHeight="1">
      <c r="A169" s="224"/>
      <c r="B169" s="225"/>
      <c r="C169" s="226"/>
      <c r="D169" s="225"/>
      <c r="E169" s="226"/>
      <c r="F169" s="231" t="s">
        <v>1787</v>
      </c>
      <c r="G169" s="249"/>
      <c r="H169" s="240"/>
      <c r="I169" s="240"/>
      <c r="J169" s="240"/>
      <c r="K169" s="240"/>
      <c r="L169" s="250"/>
      <c r="M169" s="240"/>
      <c r="N169" s="244"/>
      <c r="O169" s="244"/>
      <c r="P169" s="251">
        <f>SUM(P170:P171)</f>
        <v>6200000</v>
      </c>
      <c r="Q169" s="235"/>
      <c r="R169" s="997"/>
      <c r="S169" s="235"/>
      <c r="T169" s="246"/>
      <c r="V169" s="196" t="s">
        <v>2133</v>
      </c>
      <c r="W169" s="236">
        <f>Q168+Q174+Q178+Q179+Q182+Q186+Q190+Q199+Q204+Q208+Q212+Q216+Q227+Q228+Q229+Q221</f>
        <v>40250000</v>
      </c>
      <c r="X169" s="236">
        <f>R168+R174+R178+R179+R182+R186+R190+R199+R204+R208+R212+R216+R227+R228+R229+R221</f>
        <v>34314000</v>
      </c>
      <c r="AB169" s="275"/>
    </row>
    <row r="170" spans="1:28" ht="14.45" customHeight="1">
      <c r="A170" s="224"/>
      <c r="B170" s="225"/>
      <c r="C170" s="226"/>
      <c r="D170" s="225"/>
      <c r="E170" s="237"/>
      <c r="F170" s="238" t="s">
        <v>1788</v>
      </c>
      <c r="G170" s="252">
        <v>400000</v>
      </c>
      <c r="H170" s="240" t="s">
        <v>1683</v>
      </c>
      <c r="I170" s="241">
        <v>3</v>
      </c>
      <c r="J170" s="240"/>
      <c r="K170" s="242"/>
      <c r="L170" s="243"/>
      <c r="M170" s="242"/>
      <c r="N170" s="244"/>
      <c r="O170" s="244" t="s">
        <v>347</v>
      </c>
      <c r="P170" s="245">
        <f>ROUNDUP(G170*I170,-3)</f>
        <v>1200000</v>
      </c>
      <c r="Q170" s="235"/>
      <c r="R170" s="997"/>
      <c r="S170" s="235"/>
      <c r="T170" s="246"/>
      <c r="V170" s="196" t="s">
        <v>2134</v>
      </c>
      <c r="W170" s="236">
        <f>Q233+Q245</f>
        <v>85700000</v>
      </c>
      <c r="X170" s="236">
        <f>R233+R245</f>
        <v>73606000</v>
      </c>
    </row>
    <row r="171" spans="1:28" ht="14.45" customHeight="1">
      <c r="A171" s="224"/>
      <c r="B171" s="225"/>
      <c r="C171" s="226"/>
      <c r="D171" s="225"/>
      <c r="E171" s="237"/>
      <c r="F171" s="238" t="s">
        <v>1789</v>
      </c>
      <c r="G171" s="252">
        <v>1000000</v>
      </c>
      <c r="H171" s="240" t="s">
        <v>1028</v>
      </c>
      <c r="I171" s="241">
        <v>5</v>
      </c>
      <c r="J171" s="240"/>
      <c r="K171" s="242"/>
      <c r="L171" s="243"/>
      <c r="M171" s="242"/>
      <c r="N171" s="244"/>
      <c r="O171" s="244" t="s">
        <v>347</v>
      </c>
      <c r="P171" s="245">
        <f>ROUNDUP(G171*I171,-3)</f>
        <v>5000000</v>
      </c>
      <c r="Q171" s="235"/>
      <c r="R171" s="997"/>
      <c r="S171" s="235"/>
      <c r="T171" s="246"/>
      <c r="X171" s="236">
        <f>SUM(X169:X170)</f>
        <v>107920000</v>
      </c>
    </row>
    <row r="172" spans="1:28" ht="14.45" customHeight="1">
      <c r="A172" s="224"/>
      <c r="B172" s="225"/>
      <c r="C172" s="226"/>
      <c r="D172" s="225"/>
      <c r="E172" s="226"/>
      <c r="F172" s="231" t="s">
        <v>132</v>
      </c>
      <c r="G172" s="249"/>
      <c r="H172" s="240"/>
      <c r="I172" s="240"/>
      <c r="J172" s="240"/>
      <c r="K172" s="240"/>
      <c r="L172" s="250"/>
      <c r="M172" s="240"/>
      <c r="N172" s="244"/>
      <c r="O172" s="244"/>
      <c r="P172" s="251">
        <f>SUM(P173:P173)</f>
        <v>3168000</v>
      </c>
      <c r="Q172" s="235"/>
      <c r="R172" s="997"/>
      <c r="S172" s="235"/>
      <c r="T172" s="246"/>
    </row>
    <row r="173" spans="1:28" ht="14.45" customHeight="1">
      <c r="A173" s="224"/>
      <c r="B173" s="225"/>
      <c r="C173" s="226"/>
      <c r="D173" s="225"/>
      <c r="E173" s="237"/>
      <c r="F173" s="238" t="s">
        <v>941</v>
      </c>
      <c r="G173" s="123">
        <v>8000</v>
      </c>
      <c r="H173" s="240" t="s">
        <v>1683</v>
      </c>
      <c r="I173" s="241">
        <v>3</v>
      </c>
      <c r="J173" s="240" t="s">
        <v>109</v>
      </c>
      <c r="K173" s="256">
        <v>11</v>
      </c>
      <c r="L173" s="240" t="s">
        <v>109</v>
      </c>
      <c r="M173" s="242">
        <v>12</v>
      </c>
      <c r="N173" s="244"/>
      <c r="O173" s="244" t="s">
        <v>1667</v>
      </c>
      <c r="P173" s="245">
        <f>G173*I173*K173*M173</f>
        <v>3168000</v>
      </c>
      <c r="Q173" s="235"/>
      <c r="R173" s="997"/>
      <c r="S173" s="235"/>
      <c r="T173" s="246"/>
      <c r="V173" s="195"/>
    </row>
    <row r="174" spans="1:28" ht="14.45" customHeight="1">
      <c r="A174" s="224"/>
      <c r="B174" s="225"/>
      <c r="C174" s="226"/>
      <c r="D174" s="225"/>
      <c r="E174" s="66" t="s">
        <v>1790</v>
      </c>
      <c r="F174" s="227"/>
      <c r="G174" s="228"/>
      <c r="H174" s="66"/>
      <c r="I174" s="66"/>
      <c r="J174" s="66"/>
      <c r="K174" s="66"/>
      <c r="L174" s="229"/>
      <c r="M174" s="66"/>
      <c r="N174" s="230"/>
      <c r="O174" s="230"/>
      <c r="P174" s="66"/>
      <c r="Q174" s="171">
        <f>P175</f>
        <v>4600000</v>
      </c>
      <c r="R174" s="171">
        <v>2400000</v>
      </c>
      <c r="S174" s="171">
        <f>Q174-R174</f>
        <v>2200000</v>
      </c>
      <c r="T174" s="172">
        <f t="shared" si="4"/>
        <v>0.91666666666666663</v>
      </c>
      <c r="X174" s="275"/>
    </row>
    <row r="175" spans="1:28" ht="14.45" customHeight="1">
      <c r="A175" s="224"/>
      <c r="B175" s="225"/>
      <c r="C175" s="226"/>
      <c r="D175" s="225"/>
      <c r="E175" s="226"/>
      <c r="F175" s="231" t="s">
        <v>1791</v>
      </c>
      <c r="G175" s="249"/>
      <c r="H175" s="240"/>
      <c r="I175" s="240"/>
      <c r="J175" s="240"/>
      <c r="K175" s="240"/>
      <c r="L175" s="250"/>
      <c r="M175" s="240"/>
      <c r="N175" s="244"/>
      <c r="O175" s="244"/>
      <c r="P175" s="251">
        <f>SUM(P176:P177)</f>
        <v>4600000</v>
      </c>
      <c r="Q175" s="235"/>
      <c r="R175" s="997"/>
      <c r="S175" s="235"/>
      <c r="T175" s="246"/>
      <c r="Z175" s="195"/>
    </row>
    <row r="176" spans="1:28" ht="14.45" customHeight="1">
      <c r="A176" s="224"/>
      <c r="B176" s="225"/>
      <c r="C176" s="226"/>
      <c r="D176" s="225"/>
      <c r="E176" s="237"/>
      <c r="F176" s="238" t="s">
        <v>1792</v>
      </c>
      <c r="G176" s="249">
        <v>100000</v>
      </c>
      <c r="H176" s="240" t="s">
        <v>1683</v>
      </c>
      <c r="I176" s="241">
        <v>3</v>
      </c>
      <c r="J176" s="240" t="s">
        <v>109</v>
      </c>
      <c r="K176" s="242">
        <v>12</v>
      </c>
      <c r="L176" s="243"/>
      <c r="M176" s="242"/>
      <c r="N176" s="244"/>
      <c r="O176" s="244" t="s">
        <v>347</v>
      </c>
      <c r="P176" s="245">
        <f>G176*I176*K176</f>
        <v>3600000</v>
      </c>
      <c r="Q176" s="235"/>
      <c r="R176" s="997"/>
      <c r="S176" s="235"/>
      <c r="T176" s="246"/>
    </row>
    <row r="177" spans="1:24" ht="14.45" customHeight="1">
      <c r="A177" s="576"/>
      <c r="B177" s="278"/>
      <c r="C177" s="279"/>
      <c r="D177" s="278"/>
      <c r="E177" s="280"/>
      <c r="F177" s="281" t="s">
        <v>1793</v>
      </c>
      <c r="G177" s="282">
        <v>500000</v>
      </c>
      <c r="H177" s="283" t="s">
        <v>1683</v>
      </c>
      <c r="I177" s="1118">
        <v>2</v>
      </c>
      <c r="J177" s="283"/>
      <c r="K177" s="1064"/>
      <c r="L177" s="1402"/>
      <c r="M177" s="284"/>
      <c r="N177" s="285"/>
      <c r="O177" s="285" t="s">
        <v>347</v>
      </c>
      <c r="P177" s="286">
        <f>G177*I177</f>
        <v>1000000</v>
      </c>
      <c r="Q177" s="287"/>
      <c r="R177" s="1027"/>
      <c r="S177" s="287"/>
      <c r="T177" s="288"/>
    </row>
    <row r="178" spans="1:24" ht="14.45" customHeight="1">
      <c r="A178" s="224"/>
      <c r="B178" s="225"/>
      <c r="C178" s="226"/>
      <c r="D178" s="225"/>
      <c r="E178" s="363" t="s">
        <v>1794</v>
      </c>
      <c r="F178" s="364"/>
      <c r="G178" s="365"/>
      <c r="H178" s="363"/>
      <c r="I178" s="363"/>
      <c r="J178" s="363"/>
      <c r="K178" s="363"/>
      <c r="L178" s="366"/>
      <c r="M178" s="363"/>
      <c r="N178" s="367"/>
      <c r="O178" s="367"/>
      <c r="P178" s="363"/>
      <c r="Q178" s="188">
        <f>P179</f>
        <v>0</v>
      </c>
      <c r="R178" s="188">
        <v>6070000</v>
      </c>
      <c r="S178" s="188">
        <f>Q178-R178</f>
        <v>-6070000</v>
      </c>
      <c r="T178" s="570">
        <f t="shared" ref="T178" si="21">S178/R178</f>
        <v>-1</v>
      </c>
    </row>
    <row r="179" spans="1:24" ht="14.45" customHeight="1">
      <c r="A179" s="224"/>
      <c r="B179" s="225"/>
      <c r="C179" s="226"/>
      <c r="D179" s="225"/>
      <c r="E179" s="66" t="s">
        <v>1795</v>
      </c>
      <c r="F179" s="227"/>
      <c r="G179" s="228"/>
      <c r="H179" s="66"/>
      <c r="I179" s="66"/>
      <c r="J179" s="66"/>
      <c r="K179" s="66"/>
      <c r="L179" s="229"/>
      <c r="M179" s="66"/>
      <c r="N179" s="230"/>
      <c r="O179" s="230"/>
      <c r="P179" s="66"/>
      <c r="Q179" s="171">
        <f>P180</f>
        <v>400000</v>
      </c>
      <c r="R179" s="171">
        <v>300000</v>
      </c>
      <c r="S179" s="171">
        <f>Q179-R179</f>
        <v>100000</v>
      </c>
      <c r="T179" s="172">
        <f t="shared" si="4"/>
        <v>0.33333333333333331</v>
      </c>
    </row>
    <row r="180" spans="1:24" ht="14.45" customHeight="1">
      <c r="A180" s="224"/>
      <c r="B180" s="225"/>
      <c r="C180" s="226"/>
      <c r="D180" s="225"/>
      <c r="E180" s="226"/>
      <c r="F180" s="231" t="s">
        <v>1796</v>
      </c>
      <c r="G180" s="249"/>
      <c r="H180" s="240"/>
      <c r="I180" s="240"/>
      <c r="J180" s="240"/>
      <c r="K180" s="240"/>
      <c r="L180" s="250"/>
      <c r="M180" s="240"/>
      <c r="N180" s="244"/>
      <c r="O180" s="244"/>
      <c r="P180" s="251">
        <f>SUM(P181:P181)</f>
        <v>400000</v>
      </c>
      <c r="Q180" s="235"/>
      <c r="R180" s="997"/>
      <c r="S180" s="235"/>
      <c r="T180" s="246"/>
    </row>
    <row r="181" spans="1:24" ht="14.45" customHeight="1">
      <c r="A181" s="224"/>
      <c r="B181" s="225"/>
      <c r="C181" s="226"/>
      <c r="D181" s="225"/>
      <c r="E181" s="237"/>
      <c r="F181" s="238" t="s">
        <v>446</v>
      </c>
      <c r="G181" s="121">
        <v>80000</v>
      </c>
      <c r="H181" s="240" t="s">
        <v>273</v>
      </c>
      <c r="I181" s="241">
        <v>5</v>
      </c>
      <c r="J181" s="240"/>
      <c r="K181" s="242"/>
      <c r="L181" s="243"/>
      <c r="M181" s="242"/>
      <c r="N181" s="244"/>
      <c r="O181" s="244" t="s">
        <v>281</v>
      </c>
      <c r="P181" s="245">
        <f>ROUNDUP(G181*I181,-3)</f>
        <v>400000</v>
      </c>
      <c r="Q181" s="235"/>
      <c r="R181" s="997"/>
      <c r="S181" s="235"/>
      <c r="T181" s="246"/>
    </row>
    <row r="182" spans="1:24" ht="14.45" customHeight="1">
      <c r="A182" s="224"/>
      <c r="B182" s="225"/>
      <c r="C182" s="226"/>
      <c r="D182" s="225"/>
      <c r="E182" s="66" t="s">
        <v>1797</v>
      </c>
      <c r="F182" s="227"/>
      <c r="G182" s="228"/>
      <c r="H182" s="66"/>
      <c r="I182" s="66"/>
      <c r="J182" s="66"/>
      <c r="K182" s="66"/>
      <c r="L182" s="229"/>
      <c r="M182" s="66"/>
      <c r="N182" s="230"/>
      <c r="O182" s="230"/>
      <c r="P182" s="66"/>
      <c r="Q182" s="171">
        <f>P183</f>
        <v>2860000</v>
      </c>
      <c r="R182" s="171">
        <v>300000</v>
      </c>
      <c r="S182" s="171">
        <f>Q182-R182</f>
        <v>2560000</v>
      </c>
      <c r="T182" s="172">
        <f t="shared" si="4"/>
        <v>8.5333333333333332</v>
      </c>
      <c r="X182" s="275"/>
    </row>
    <row r="183" spans="1:24" ht="14.45" customHeight="1">
      <c r="A183" s="224"/>
      <c r="B183" s="225"/>
      <c r="C183" s="226"/>
      <c r="D183" s="225"/>
      <c r="E183" s="226"/>
      <c r="F183" s="231" t="s">
        <v>1798</v>
      </c>
      <c r="G183" s="249"/>
      <c r="H183" s="240"/>
      <c r="I183" s="240"/>
      <c r="J183" s="240"/>
      <c r="K183" s="240"/>
      <c r="L183" s="250"/>
      <c r="M183" s="240"/>
      <c r="N183" s="244"/>
      <c r="O183" s="244"/>
      <c r="P183" s="251">
        <f>SUM(P184:P185)</f>
        <v>2860000</v>
      </c>
      <c r="Q183" s="235"/>
      <c r="R183" s="997"/>
      <c r="S183" s="235"/>
      <c r="T183" s="246"/>
    </row>
    <row r="184" spans="1:24" ht="14.45" customHeight="1">
      <c r="A184" s="224"/>
      <c r="B184" s="225"/>
      <c r="C184" s="226"/>
      <c r="D184" s="225"/>
      <c r="E184" s="237"/>
      <c r="F184" s="238" t="s">
        <v>821</v>
      </c>
      <c r="G184" s="252">
        <v>60000</v>
      </c>
      <c r="H184" s="240" t="s">
        <v>273</v>
      </c>
      <c r="I184" s="242">
        <v>6</v>
      </c>
      <c r="J184" s="240"/>
      <c r="K184" s="242"/>
      <c r="L184" s="243"/>
      <c r="M184" s="242"/>
      <c r="N184" s="244"/>
      <c r="O184" s="244" t="s">
        <v>1667</v>
      </c>
      <c r="P184" s="245">
        <f>ROUNDUP(G184*I184,-3)</f>
        <v>360000</v>
      </c>
      <c r="Q184" s="235"/>
      <c r="R184" s="997"/>
      <c r="S184" s="235"/>
      <c r="T184" s="246"/>
    </row>
    <row r="185" spans="1:24" ht="14.45" customHeight="1">
      <c r="A185" s="224"/>
      <c r="B185" s="225"/>
      <c r="C185" s="226"/>
      <c r="D185" s="225"/>
      <c r="E185" s="247"/>
      <c r="F185" s="248" t="s">
        <v>942</v>
      </c>
      <c r="G185" s="249">
        <v>2500000</v>
      </c>
      <c r="H185" s="240" t="s">
        <v>1028</v>
      </c>
      <c r="I185" s="265">
        <v>1</v>
      </c>
      <c r="J185" s="240"/>
      <c r="K185" s="242"/>
      <c r="L185" s="243"/>
      <c r="M185" s="242"/>
      <c r="N185" s="244"/>
      <c r="O185" s="244" t="s">
        <v>1667</v>
      </c>
      <c r="P185" s="245">
        <f>ROUNDUP(G185*I185,-3)</f>
        <v>2500000</v>
      </c>
      <c r="Q185" s="235"/>
      <c r="R185" s="997"/>
      <c r="S185" s="235"/>
      <c r="T185" s="246"/>
    </row>
    <row r="186" spans="1:24" ht="14.45" customHeight="1">
      <c r="A186" s="224"/>
      <c r="B186" s="225"/>
      <c r="C186" s="226"/>
      <c r="D186" s="225"/>
      <c r="E186" s="66" t="s">
        <v>1799</v>
      </c>
      <c r="F186" s="227"/>
      <c r="G186" s="228"/>
      <c r="H186" s="66"/>
      <c r="I186" s="66"/>
      <c r="J186" s="66"/>
      <c r="K186" s="66"/>
      <c r="L186" s="229"/>
      <c r="M186" s="66"/>
      <c r="N186" s="230"/>
      <c r="O186" s="230"/>
      <c r="P186" s="66"/>
      <c r="Q186" s="171">
        <f>P187</f>
        <v>1680000</v>
      </c>
      <c r="R186" s="171">
        <v>3240000</v>
      </c>
      <c r="S186" s="171">
        <f>Q186-R186</f>
        <v>-1560000</v>
      </c>
      <c r="T186" s="172">
        <f>S186/R186</f>
        <v>-0.48148148148148145</v>
      </c>
      <c r="X186" s="275"/>
    </row>
    <row r="187" spans="1:24" ht="14.45" customHeight="1">
      <c r="A187" s="224"/>
      <c r="B187" s="225"/>
      <c r="C187" s="226"/>
      <c r="D187" s="225"/>
      <c r="E187" s="226"/>
      <c r="F187" s="231" t="s">
        <v>1800</v>
      </c>
      <c r="G187" s="249"/>
      <c r="H187" s="240"/>
      <c r="I187" s="240"/>
      <c r="J187" s="240"/>
      <c r="K187" s="240"/>
      <c r="L187" s="250"/>
      <c r="M187" s="240"/>
      <c r="N187" s="244"/>
      <c r="O187" s="244"/>
      <c r="P187" s="251">
        <f>SUM(P188:P189)</f>
        <v>1680000</v>
      </c>
      <c r="Q187" s="235"/>
      <c r="R187" s="997"/>
      <c r="S187" s="235"/>
      <c r="T187" s="246"/>
    </row>
    <row r="188" spans="1:24" ht="14.45" customHeight="1">
      <c r="A188" s="224"/>
      <c r="B188" s="225"/>
      <c r="C188" s="226"/>
      <c r="D188" s="225"/>
      <c r="E188" s="237"/>
      <c r="F188" s="238" t="s">
        <v>1801</v>
      </c>
      <c r="G188" s="252">
        <v>100000</v>
      </c>
      <c r="H188" s="240" t="s">
        <v>1028</v>
      </c>
      <c r="I188" s="242">
        <v>12</v>
      </c>
      <c r="J188" s="240"/>
      <c r="K188" s="242"/>
      <c r="L188" s="243"/>
      <c r="M188" s="242"/>
      <c r="N188" s="244"/>
      <c r="O188" s="244" t="s">
        <v>1667</v>
      </c>
      <c r="P188" s="245">
        <f>ROUNDUP(G188*I188,-3)</f>
        <v>1200000</v>
      </c>
      <c r="Q188" s="235"/>
      <c r="R188" s="997"/>
      <c r="S188" s="235"/>
      <c r="T188" s="246"/>
    </row>
    <row r="189" spans="1:24" ht="14.45" customHeight="1">
      <c r="A189" s="224"/>
      <c r="B189" s="225"/>
      <c r="C189" s="226"/>
      <c r="D189" s="225"/>
      <c r="E189" s="247"/>
      <c r="F189" s="248" t="s">
        <v>1802</v>
      </c>
      <c r="G189" s="249">
        <v>40000</v>
      </c>
      <c r="H189" s="240" t="s">
        <v>1028</v>
      </c>
      <c r="I189" s="242">
        <v>12</v>
      </c>
      <c r="J189" s="240"/>
      <c r="K189" s="242"/>
      <c r="L189" s="243"/>
      <c r="M189" s="242"/>
      <c r="N189" s="244"/>
      <c r="O189" s="244" t="s">
        <v>347</v>
      </c>
      <c r="P189" s="245">
        <f>ROUNDUP(G189*I189,-3)</f>
        <v>480000</v>
      </c>
      <c r="Q189" s="235"/>
      <c r="R189" s="997"/>
      <c r="S189" s="235"/>
      <c r="T189" s="246"/>
    </row>
    <row r="190" spans="1:24" ht="14.45" customHeight="1">
      <c r="A190" s="224"/>
      <c r="B190" s="225"/>
      <c r="C190" s="226"/>
      <c r="D190" s="225"/>
      <c r="E190" s="66" t="s">
        <v>1803</v>
      </c>
      <c r="F190" s="227"/>
      <c r="G190" s="228"/>
      <c r="H190" s="66"/>
      <c r="I190" s="66"/>
      <c r="J190" s="66"/>
      <c r="K190" s="66"/>
      <c r="L190" s="229"/>
      <c r="M190" s="66"/>
      <c r="N190" s="230"/>
      <c r="O190" s="230"/>
      <c r="P190" s="66"/>
      <c r="Q190" s="171">
        <f>P191</f>
        <v>5280000</v>
      </c>
      <c r="R190" s="171">
        <v>9978000</v>
      </c>
      <c r="S190" s="171">
        <f>Q190-R190</f>
        <v>-4698000</v>
      </c>
      <c r="T190" s="172">
        <f t="shared" si="4"/>
        <v>-0.47083583884545999</v>
      </c>
    </row>
    <row r="191" spans="1:24" ht="14.45" customHeight="1">
      <c r="A191" s="224"/>
      <c r="B191" s="225"/>
      <c r="C191" s="226"/>
      <c r="D191" s="225"/>
      <c r="E191" s="226"/>
      <c r="F191" s="231" t="s">
        <v>1804</v>
      </c>
      <c r="G191" s="249"/>
      <c r="H191" s="240"/>
      <c r="I191" s="240"/>
      <c r="J191" s="240"/>
      <c r="K191" s="240"/>
      <c r="L191" s="250"/>
      <c r="M191" s="240"/>
      <c r="N191" s="244"/>
      <c r="O191" s="244"/>
      <c r="P191" s="251">
        <f>SUM(P192:P198)</f>
        <v>5280000</v>
      </c>
      <c r="Q191" s="235"/>
      <c r="R191" s="997"/>
      <c r="S191" s="235"/>
      <c r="T191" s="246"/>
    </row>
    <row r="192" spans="1:24" ht="14.45" customHeight="1">
      <c r="A192" s="224"/>
      <c r="B192" s="225"/>
      <c r="C192" s="226"/>
      <c r="D192" s="225"/>
      <c r="E192" s="237"/>
      <c r="F192" s="238" t="s">
        <v>1805</v>
      </c>
      <c r="G192" s="252">
        <v>200000</v>
      </c>
      <c r="H192" s="240" t="s">
        <v>1028</v>
      </c>
      <c r="I192" s="1820">
        <v>2</v>
      </c>
      <c r="J192" s="240"/>
      <c r="K192" s="242"/>
      <c r="L192" s="243"/>
      <c r="M192" s="242"/>
      <c r="N192" s="244"/>
      <c r="O192" s="244" t="s">
        <v>1667</v>
      </c>
      <c r="P192" s="245">
        <f t="shared" ref="P192:P196" si="22">ROUNDUP(G192*I192,-3)</f>
        <v>400000</v>
      </c>
      <c r="Q192" s="235"/>
      <c r="R192" s="997"/>
      <c r="S192" s="235"/>
      <c r="T192" s="246"/>
      <c r="X192" s="275"/>
    </row>
    <row r="193" spans="1:24" ht="14.45" customHeight="1">
      <c r="A193" s="224"/>
      <c r="B193" s="225"/>
      <c r="C193" s="226"/>
      <c r="D193" s="225"/>
      <c r="E193" s="237"/>
      <c r="F193" s="238" t="s">
        <v>1806</v>
      </c>
      <c r="G193" s="252">
        <v>100000</v>
      </c>
      <c r="H193" s="240" t="s">
        <v>1028</v>
      </c>
      <c r="I193" s="1820">
        <v>2</v>
      </c>
      <c r="J193" s="240"/>
      <c r="K193" s="242"/>
      <c r="L193" s="243"/>
      <c r="M193" s="242"/>
      <c r="N193" s="244"/>
      <c r="O193" s="244" t="s">
        <v>347</v>
      </c>
      <c r="P193" s="245">
        <f t="shared" si="22"/>
        <v>200000</v>
      </c>
      <c r="Q193" s="235"/>
      <c r="R193" s="997"/>
      <c r="S193" s="235"/>
      <c r="T193" s="246"/>
    </row>
    <row r="194" spans="1:24" ht="14.45" customHeight="1">
      <c r="A194" s="224"/>
      <c r="B194" s="225"/>
      <c r="C194" s="226"/>
      <c r="D194" s="225"/>
      <c r="E194" s="237"/>
      <c r="F194" s="238" t="s">
        <v>943</v>
      </c>
      <c r="G194" s="252">
        <v>750000</v>
      </c>
      <c r="H194" s="240" t="s">
        <v>1028</v>
      </c>
      <c r="I194" s="1820">
        <v>4</v>
      </c>
      <c r="J194" s="240"/>
      <c r="K194" s="242"/>
      <c r="L194" s="243"/>
      <c r="M194" s="242"/>
      <c r="N194" s="244"/>
      <c r="O194" s="244" t="s">
        <v>110</v>
      </c>
      <c r="P194" s="245">
        <f t="shared" si="22"/>
        <v>3000000</v>
      </c>
      <c r="Q194" s="235"/>
      <c r="R194" s="997"/>
      <c r="S194" s="235"/>
      <c r="T194" s="246"/>
      <c r="V194" s="275">
        <f>G194/4</f>
        <v>187500</v>
      </c>
    </row>
    <row r="195" spans="1:24" ht="14.45" customHeight="1">
      <c r="A195" s="224"/>
      <c r="B195" s="225"/>
      <c r="C195" s="226"/>
      <c r="D195" s="225"/>
      <c r="E195" s="237"/>
      <c r="F195" s="238" t="s">
        <v>1807</v>
      </c>
      <c r="G195" s="252">
        <v>100000</v>
      </c>
      <c r="H195" s="240" t="s">
        <v>1028</v>
      </c>
      <c r="I195" s="1820">
        <v>4</v>
      </c>
      <c r="J195" s="240"/>
      <c r="K195" s="242"/>
      <c r="L195" s="243"/>
      <c r="M195" s="242"/>
      <c r="N195" s="244"/>
      <c r="O195" s="244" t="s">
        <v>347</v>
      </c>
      <c r="P195" s="245">
        <f t="shared" si="22"/>
        <v>400000</v>
      </c>
      <c r="Q195" s="235"/>
      <c r="R195" s="997"/>
      <c r="S195" s="235"/>
      <c r="T195" s="246"/>
    </row>
    <row r="196" spans="1:24" ht="14.45" customHeight="1">
      <c r="A196" s="224"/>
      <c r="B196" s="225"/>
      <c r="C196" s="226"/>
      <c r="D196" s="225"/>
      <c r="E196" s="237"/>
      <c r="F196" s="238" t="s">
        <v>1808</v>
      </c>
      <c r="G196" s="252">
        <v>200000</v>
      </c>
      <c r="H196" s="240" t="s">
        <v>1683</v>
      </c>
      <c r="I196" s="1820">
        <v>2</v>
      </c>
      <c r="J196" s="240"/>
      <c r="K196" s="242"/>
      <c r="L196" s="243"/>
      <c r="M196" s="242"/>
      <c r="N196" s="244"/>
      <c r="O196" s="244" t="s">
        <v>1667</v>
      </c>
      <c r="P196" s="245">
        <f t="shared" si="22"/>
        <v>400000</v>
      </c>
      <c r="Q196" s="235"/>
      <c r="R196" s="997"/>
      <c r="S196" s="235"/>
      <c r="T196" s="246"/>
    </row>
    <row r="197" spans="1:24" ht="14.45" customHeight="1">
      <c r="A197" s="224"/>
      <c r="B197" s="225"/>
      <c r="C197" s="226"/>
      <c r="D197" s="225"/>
      <c r="E197" s="237"/>
      <c r="F197" s="238" t="s">
        <v>682</v>
      </c>
      <c r="G197" s="252">
        <v>200000</v>
      </c>
      <c r="H197" s="240" t="s">
        <v>1028</v>
      </c>
      <c r="I197" s="1820">
        <v>2</v>
      </c>
      <c r="J197" s="240"/>
      <c r="K197" s="242"/>
      <c r="L197" s="243"/>
      <c r="M197" s="242"/>
      <c r="N197" s="244"/>
      <c r="O197" s="244" t="s">
        <v>347</v>
      </c>
      <c r="P197" s="245">
        <f>ROUNDUP(G197*I197,-3)</f>
        <v>400000</v>
      </c>
      <c r="Q197" s="235"/>
      <c r="R197" s="997"/>
      <c r="S197" s="235"/>
      <c r="T197" s="246"/>
    </row>
    <row r="198" spans="1:24" ht="14.45" customHeight="1">
      <c r="A198" s="224"/>
      <c r="B198" s="225"/>
      <c r="C198" s="226"/>
      <c r="D198" s="225"/>
      <c r="E198" s="237"/>
      <c r="F198" s="238" t="s">
        <v>1809</v>
      </c>
      <c r="G198" s="252">
        <v>120000</v>
      </c>
      <c r="H198" s="240" t="s">
        <v>1028</v>
      </c>
      <c r="I198" s="242">
        <v>4</v>
      </c>
      <c r="J198" s="240"/>
      <c r="K198" s="242"/>
      <c r="L198" s="243"/>
      <c r="M198" s="242"/>
      <c r="N198" s="244"/>
      <c r="O198" s="244" t="s">
        <v>1667</v>
      </c>
      <c r="P198" s="245">
        <f>ROUNDUP(G198*I198,-3)</f>
        <v>480000</v>
      </c>
      <c r="Q198" s="235"/>
      <c r="R198" s="997"/>
      <c r="S198" s="235"/>
      <c r="T198" s="246"/>
    </row>
    <row r="199" spans="1:24" ht="14.45" customHeight="1">
      <c r="A199" s="224"/>
      <c r="B199" s="225"/>
      <c r="C199" s="226"/>
      <c r="D199" s="225"/>
      <c r="E199" s="66" t="s">
        <v>1810</v>
      </c>
      <c r="F199" s="227"/>
      <c r="G199" s="228"/>
      <c r="H199" s="66"/>
      <c r="I199" s="66"/>
      <c r="J199" s="66"/>
      <c r="K199" s="66"/>
      <c r="L199" s="229"/>
      <c r="M199" s="66"/>
      <c r="N199" s="230"/>
      <c r="O199" s="230"/>
      <c r="P199" s="66"/>
      <c r="Q199" s="171">
        <f>P200</f>
        <v>1200000</v>
      </c>
      <c r="R199" s="171">
        <v>0</v>
      </c>
      <c r="S199" s="171">
        <f>Q199-R199</f>
        <v>1200000</v>
      </c>
      <c r="T199" s="172">
        <v>1</v>
      </c>
    </row>
    <row r="200" spans="1:24" ht="14.45" customHeight="1">
      <c r="A200" s="224"/>
      <c r="B200" s="225"/>
      <c r="C200" s="226"/>
      <c r="D200" s="225"/>
      <c r="E200" s="257"/>
      <c r="F200" s="258" t="s">
        <v>1811</v>
      </c>
      <c r="G200" s="259"/>
      <c r="H200" s="260"/>
      <c r="I200" s="260"/>
      <c r="J200" s="260"/>
      <c r="K200" s="260"/>
      <c r="L200" s="1553"/>
      <c r="M200" s="260"/>
      <c r="N200" s="261"/>
      <c r="O200" s="261"/>
      <c r="P200" s="262">
        <f>SUM(P201:P203)</f>
        <v>1200000</v>
      </c>
      <c r="Q200" s="263"/>
      <c r="R200" s="1004"/>
      <c r="S200" s="263"/>
      <c r="T200" s="264"/>
    </row>
    <row r="201" spans="1:24" ht="14.45" customHeight="1">
      <c r="A201" s="224"/>
      <c r="B201" s="225"/>
      <c r="C201" s="226"/>
      <c r="D201" s="225"/>
      <c r="E201" s="237"/>
      <c r="F201" s="238" t="s">
        <v>1812</v>
      </c>
      <c r="G201" s="252">
        <v>500000</v>
      </c>
      <c r="H201" s="240" t="s">
        <v>1028</v>
      </c>
      <c r="I201" s="256">
        <v>1</v>
      </c>
      <c r="J201" s="240"/>
      <c r="K201" s="242"/>
      <c r="L201" s="243"/>
      <c r="M201" s="242"/>
      <c r="N201" s="244"/>
      <c r="O201" s="244" t="s">
        <v>1667</v>
      </c>
      <c r="P201" s="245">
        <f>ROUNDUP(G201*I201,-3)</f>
        <v>500000</v>
      </c>
      <c r="Q201" s="235"/>
      <c r="R201" s="997"/>
      <c r="S201" s="235"/>
      <c r="T201" s="246"/>
      <c r="X201" s="275"/>
    </row>
    <row r="202" spans="1:24" ht="14.45" customHeight="1">
      <c r="A202" s="224"/>
      <c r="B202" s="225"/>
      <c r="C202" s="226"/>
      <c r="D202" s="225"/>
      <c r="E202" s="247"/>
      <c r="F202" s="248" t="s">
        <v>1813</v>
      </c>
      <c r="G202" s="249">
        <v>500000</v>
      </c>
      <c r="H202" s="240" t="s">
        <v>1028</v>
      </c>
      <c r="I202" s="256">
        <v>1</v>
      </c>
      <c r="J202" s="240"/>
      <c r="K202" s="242"/>
      <c r="L202" s="243"/>
      <c r="M202" s="242"/>
      <c r="N202" s="244"/>
      <c r="O202" s="244" t="s">
        <v>347</v>
      </c>
      <c r="P202" s="245">
        <f>ROUNDUP(G202*I202,-3)</f>
        <v>500000</v>
      </c>
      <c r="Q202" s="235"/>
      <c r="R202" s="997"/>
      <c r="S202" s="235"/>
      <c r="T202" s="246" t="s">
        <v>1814</v>
      </c>
    </row>
    <row r="203" spans="1:24" ht="14.45" customHeight="1">
      <c r="A203" s="224"/>
      <c r="B203" s="225"/>
      <c r="C203" s="226"/>
      <c r="D203" s="225"/>
      <c r="E203" s="247"/>
      <c r="F203" s="248" t="s">
        <v>1815</v>
      </c>
      <c r="G203" s="249">
        <v>200000</v>
      </c>
      <c r="H203" s="240" t="s">
        <v>1028</v>
      </c>
      <c r="I203" s="256">
        <v>1</v>
      </c>
      <c r="J203" s="240"/>
      <c r="K203" s="242"/>
      <c r="L203" s="243"/>
      <c r="M203" s="242"/>
      <c r="N203" s="244"/>
      <c r="O203" s="244" t="s">
        <v>347</v>
      </c>
      <c r="P203" s="111">
        <f>ROUNDUP(G203*I203,-3)</f>
        <v>200000</v>
      </c>
      <c r="Q203" s="235"/>
      <c r="R203" s="997"/>
      <c r="S203" s="235"/>
      <c r="T203" s="246"/>
    </row>
    <row r="204" spans="1:24" ht="14.45" customHeight="1">
      <c r="A204" s="224"/>
      <c r="B204" s="225"/>
      <c r="C204" s="226"/>
      <c r="D204" s="225"/>
      <c r="E204" s="66" t="s">
        <v>1753</v>
      </c>
      <c r="F204" s="227"/>
      <c r="G204" s="228"/>
      <c r="H204" s="66"/>
      <c r="I204" s="66"/>
      <c r="J204" s="66"/>
      <c r="K204" s="66"/>
      <c r="L204" s="229"/>
      <c r="M204" s="66"/>
      <c r="N204" s="230"/>
      <c r="O204" s="230"/>
      <c r="P204" s="66"/>
      <c r="Q204" s="171">
        <f>P205</f>
        <v>1520000</v>
      </c>
      <c r="R204" s="171">
        <v>900000</v>
      </c>
      <c r="S204" s="171">
        <f>Q204-R204</f>
        <v>620000</v>
      </c>
      <c r="T204" s="172">
        <f>S204/R204</f>
        <v>0.68888888888888888</v>
      </c>
    </row>
    <row r="205" spans="1:24" ht="14.45" customHeight="1">
      <c r="A205" s="224"/>
      <c r="B205" s="225"/>
      <c r="C205" s="226"/>
      <c r="D205" s="225"/>
      <c r="E205" s="226"/>
      <c r="F205" s="231" t="s">
        <v>1816</v>
      </c>
      <c r="G205" s="249"/>
      <c r="H205" s="240"/>
      <c r="I205" s="240"/>
      <c r="J205" s="240"/>
      <c r="K205" s="240"/>
      <c r="L205" s="250"/>
      <c r="M205" s="240"/>
      <c r="N205" s="244"/>
      <c r="O205" s="244"/>
      <c r="P205" s="251">
        <f>SUM(P206:P207)</f>
        <v>1520000</v>
      </c>
      <c r="Q205" s="235"/>
      <c r="R205" s="997"/>
      <c r="S205" s="235"/>
      <c r="T205" s="246"/>
    </row>
    <row r="206" spans="1:24" ht="14.45" customHeight="1">
      <c r="A206" s="224"/>
      <c r="B206" s="225"/>
      <c r="C206" s="226"/>
      <c r="D206" s="225"/>
      <c r="E206" s="226"/>
      <c r="F206" s="126" t="s">
        <v>1817</v>
      </c>
      <c r="G206" s="121">
        <v>110000</v>
      </c>
      <c r="H206" s="106" t="s">
        <v>1028</v>
      </c>
      <c r="I206" s="108">
        <v>12</v>
      </c>
      <c r="J206" s="106"/>
      <c r="K206" s="108"/>
      <c r="L206" s="109"/>
      <c r="M206" s="108"/>
      <c r="N206" s="110"/>
      <c r="O206" s="110" t="s">
        <v>347</v>
      </c>
      <c r="P206" s="111">
        <f>ROUNDUP(G206*I206,-3)</f>
        <v>1320000</v>
      </c>
      <c r="Q206" s="235"/>
      <c r="R206" s="997"/>
      <c r="S206" s="235"/>
      <c r="T206" s="246"/>
    </row>
    <row r="207" spans="1:24" ht="14.45" customHeight="1">
      <c r="A207" s="224"/>
      <c r="B207" s="225"/>
      <c r="C207" s="226"/>
      <c r="D207" s="225"/>
      <c r="E207" s="226"/>
      <c r="F207" s="238" t="s">
        <v>1818</v>
      </c>
      <c r="G207" s="252">
        <v>200000</v>
      </c>
      <c r="H207" s="240" t="s">
        <v>1028</v>
      </c>
      <c r="I207" s="265">
        <v>1</v>
      </c>
      <c r="J207" s="240"/>
      <c r="K207" s="242"/>
      <c r="L207" s="243"/>
      <c r="M207" s="242"/>
      <c r="N207" s="244"/>
      <c r="O207" s="244" t="s">
        <v>347</v>
      </c>
      <c r="P207" s="245">
        <f>ROUNDUP(G207*I207,-3)</f>
        <v>200000</v>
      </c>
      <c r="Q207" s="235"/>
      <c r="R207" s="997"/>
      <c r="S207" s="235"/>
      <c r="T207" s="246"/>
    </row>
    <row r="208" spans="1:24" ht="14.45" customHeight="1">
      <c r="A208" s="224"/>
      <c r="B208" s="225"/>
      <c r="C208" s="226"/>
      <c r="D208" s="225"/>
      <c r="E208" s="66" t="s">
        <v>1819</v>
      </c>
      <c r="F208" s="227"/>
      <c r="G208" s="228"/>
      <c r="H208" s="66"/>
      <c r="I208" s="66"/>
      <c r="J208" s="66"/>
      <c r="K208" s="66"/>
      <c r="L208" s="229"/>
      <c r="M208" s="66"/>
      <c r="N208" s="230"/>
      <c r="O208" s="230"/>
      <c r="P208" s="66"/>
      <c r="Q208" s="171">
        <f>P209</f>
        <v>4200000</v>
      </c>
      <c r="R208" s="171">
        <v>2560000</v>
      </c>
      <c r="S208" s="171">
        <f>Q208-R208</f>
        <v>1640000</v>
      </c>
      <c r="T208" s="172">
        <f t="shared" ref="T208" si="23">S208/R208</f>
        <v>0.640625</v>
      </c>
    </row>
    <row r="209" spans="1:24" ht="14.45" customHeight="1">
      <c r="A209" s="224"/>
      <c r="B209" s="225"/>
      <c r="C209" s="226"/>
      <c r="D209" s="225"/>
      <c r="E209" s="226"/>
      <c r="F209" s="231" t="s">
        <v>1820</v>
      </c>
      <c r="G209" s="249"/>
      <c r="H209" s="240"/>
      <c r="I209" s="240"/>
      <c r="J209" s="240"/>
      <c r="K209" s="240"/>
      <c r="L209" s="250"/>
      <c r="M209" s="240"/>
      <c r="N209" s="244"/>
      <c r="O209" s="244"/>
      <c r="P209" s="251">
        <f>SUM(P210:P211)</f>
        <v>4200000</v>
      </c>
      <c r="Q209" s="235"/>
      <c r="R209" s="997"/>
      <c r="S209" s="235"/>
      <c r="T209" s="246"/>
    </row>
    <row r="210" spans="1:24" ht="14.45" customHeight="1">
      <c r="A210" s="224"/>
      <c r="B210" s="225"/>
      <c r="C210" s="226"/>
      <c r="D210" s="225"/>
      <c r="E210" s="237"/>
      <c r="F210" s="238" t="s">
        <v>1821</v>
      </c>
      <c r="G210" s="121">
        <v>200000</v>
      </c>
      <c r="H210" s="240" t="s">
        <v>1683</v>
      </c>
      <c r="I210" s="242">
        <v>12</v>
      </c>
      <c r="J210" s="240"/>
      <c r="K210" s="242"/>
      <c r="L210" s="243"/>
      <c r="M210" s="242"/>
      <c r="N210" s="244"/>
      <c r="O210" s="244" t="s">
        <v>1667</v>
      </c>
      <c r="P210" s="245">
        <f>ROUNDUP(G210*I210,-3)</f>
        <v>2400000</v>
      </c>
      <c r="Q210" s="235"/>
      <c r="R210" s="997"/>
      <c r="S210" s="235"/>
      <c r="T210" s="246"/>
    </row>
    <row r="211" spans="1:24" ht="14.45" customHeight="1">
      <c r="A211" s="224"/>
      <c r="B211" s="225"/>
      <c r="C211" s="226"/>
      <c r="D211" s="225"/>
      <c r="E211" s="577"/>
      <c r="F211" s="578" t="s">
        <v>1822</v>
      </c>
      <c r="G211" s="943">
        <v>150000</v>
      </c>
      <c r="H211" s="283" t="s">
        <v>1683</v>
      </c>
      <c r="I211" s="242">
        <v>12</v>
      </c>
      <c r="J211" s="283"/>
      <c r="K211" s="284"/>
      <c r="L211" s="1402"/>
      <c r="M211" s="284"/>
      <c r="N211" s="285"/>
      <c r="O211" s="285" t="s">
        <v>1667</v>
      </c>
      <c r="P211" s="286">
        <f>ROUNDUP(G211*I211,-3)</f>
        <v>1800000</v>
      </c>
      <c r="Q211" s="287"/>
      <c r="R211" s="1027"/>
      <c r="S211" s="287"/>
      <c r="T211" s="288"/>
      <c r="X211" s="275"/>
    </row>
    <row r="212" spans="1:24" ht="14.45" customHeight="1">
      <c r="A212" s="224"/>
      <c r="B212" s="225"/>
      <c r="C212" s="226"/>
      <c r="D212" s="225"/>
      <c r="E212" s="363" t="s">
        <v>1823</v>
      </c>
      <c r="F212" s="364"/>
      <c r="G212" s="365"/>
      <c r="H212" s="363"/>
      <c r="I212" s="66"/>
      <c r="J212" s="363"/>
      <c r="K212" s="363"/>
      <c r="L212" s="366"/>
      <c r="M212" s="363"/>
      <c r="N212" s="367"/>
      <c r="O212" s="367"/>
      <c r="P212" s="363"/>
      <c r="Q212" s="171">
        <f>P213</f>
        <v>1600000</v>
      </c>
      <c r="R212" s="188">
        <v>0</v>
      </c>
      <c r="S212" s="188">
        <f>Q212-R212</f>
        <v>1600000</v>
      </c>
      <c r="T212" s="570">
        <v>1</v>
      </c>
    </row>
    <row r="213" spans="1:24" ht="14.45" customHeight="1">
      <c r="A213" s="224"/>
      <c r="B213" s="225"/>
      <c r="C213" s="226"/>
      <c r="D213" s="225"/>
      <c r="E213" s="226"/>
      <c r="F213" s="231" t="s">
        <v>1824</v>
      </c>
      <c r="G213" s="249"/>
      <c r="H213" s="240"/>
      <c r="I213" s="240"/>
      <c r="J213" s="240"/>
      <c r="K213" s="240"/>
      <c r="L213" s="250"/>
      <c r="M213" s="240"/>
      <c r="N213" s="244"/>
      <c r="O213" s="244"/>
      <c r="P213" s="251">
        <f>SUM(P214:P215)</f>
        <v>1600000</v>
      </c>
      <c r="Q213" s="235"/>
      <c r="R213" s="997"/>
      <c r="S213" s="235"/>
      <c r="T213" s="246"/>
    </row>
    <row r="214" spans="1:24" ht="14.45" customHeight="1">
      <c r="A214" s="224"/>
      <c r="B214" s="225"/>
      <c r="C214" s="226"/>
      <c r="D214" s="225"/>
      <c r="E214" s="237"/>
      <c r="F214" s="238" t="s">
        <v>1825</v>
      </c>
      <c r="G214" s="121">
        <v>100000</v>
      </c>
      <c r="H214" s="240" t="s">
        <v>1683</v>
      </c>
      <c r="I214" s="242">
        <v>12</v>
      </c>
      <c r="J214" s="240"/>
      <c r="K214" s="242"/>
      <c r="L214" s="243"/>
      <c r="M214" s="242"/>
      <c r="N214" s="244"/>
      <c r="O214" s="244" t="s">
        <v>1667</v>
      </c>
      <c r="P214" s="245">
        <f>ROUNDUP(G214*I214,-3)</f>
        <v>1200000</v>
      </c>
      <c r="Q214" s="235"/>
      <c r="R214" s="997"/>
      <c r="S214" s="235"/>
      <c r="T214" s="246"/>
    </row>
    <row r="215" spans="1:24" ht="14.45" customHeight="1">
      <c r="A215" s="576"/>
      <c r="B215" s="278"/>
      <c r="C215" s="279"/>
      <c r="D215" s="278"/>
      <c r="E215" s="577"/>
      <c r="F215" s="578" t="s">
        <v>1826</v>
      </c>
      <c r="G215" s="943">
        <v>80000</v>
      </c>
      <c r="H215" s="283" t="s">
        <v>1683</v>
      </c>
      <c r="I215" s="1118">
        <v>5</v>
      </c>
      <c r="J215" s="283"/>
      <c r="K215" s="284"/>
      <c r="L215" s="1402"/>
      <c r="M215" s="284"/>
      <c r="N215" s="285"/>
      <c r="O215" s="285" t="s">
        <v>1667</v>
      </c>
      <c r="P215" s="286">
        <f>ROUNDUP(G215*I215,-3)</f>
        <v>400000</v>
      </c>
      <c r="Q215" s="287"/>
      <c r="R215" s="1027"/>
      <c r="S215" s="287"/>
      <c r="T215" s="288"/>
    </row>
    <row r="216" spans="1:24" ht="14.45" customHeight="1">
      <c r="A216" s="224"/>
      <c r="B216" s="225"/>
      <c r="C216" s="226"/>
      <c r="D216" s="225"/>
      <c r="E216" s="363" t="s">
        <v>1827</v>
      </c>
      <c r="F216" s="364"/>
      <c r="G216" s="365"/>
      <c r="H216" s="363"/>
      <c r="I216" s="363"/>
      <c r="J216" s="363"/>
      <c r="K216" s="363"/>
      <c r="L216" s="366"/>
      <c r="M216" s="363"/>
      <c r="N216" s="367"/>
      <c r="O216" s="367"/>
      <c r="P216" s="363"/>
      <c r="Q216" s="188">
        <f>P217+P219</f>
        <v>1400000</v>
      </c>
      <c r="R216" s="188">
        <v>800000</v>
      </c>
      <c r="S216" s="188">
        <f>Q216-R216</f>
        <v>600000</v>
      </c>
      <c r="T216" s="570">
        <f>S216/R216</f>
        <v>0.75</v>
      </c>
      <c r="X216" s="275"/>
    </row>
    <row r="217" spans="1:24" ht="14.45" customHeight="1">
      <c r="A217" s="224"/>
      <c r="B217" s="225"/>
      <c r="C217" s="226"/>
      <c r="D217" s="225"/>
      <c r="E217" s="226"/>
      <c r="F217" s="231" t="s">
        <v>1828</v>
      </c>
      <c r="G217" s="249"/>
      <c r="H217" s="240"/>
      <c r="I217" s="240"/>
      <c r="J217" s="240"/>
      <c r="K217" s="240"/>
      <c r="L217" s="250"/>
      <c r="M217" s="240"/>
      <c r="N217" s="244"/>
      <c r="O217" s="244"/>
      <c r="P217" s="251">
        <f>SUM(P218:P218)</f>
        <v>900000</v>
      </c>
      <c r="Q217" s="235"/>
      <c r="R217" s="997"/>
      <c r="S217" s="235"/>
      <c r="T217" s="246"/>
    </row>
    <row r="218" spans="1:24" ht="14.45" customHeight="1">
      <c r="A218" s="224"/>
      <c r="B218" s="225"/>
      <c r="C218" s="226"/>
      <c r="D218" s="225"/>
      <c r="E218" s="237"/>
      <c r="F218" s="238" t="s">
        <v>1829</v>
      </c>
      <c r="G218" s="121">
        <v>300000</v>
      </c>
      <c r="H218" s="240" t="s">
        <v>1683</v>
      </c>
      <c r="I218" s="241">
        <v>3</v>
      </c>
      <c r="J218" s="240"/>
      <c r="K218" s="242"/>
      <c r="L218" s="243"/>
      <c r="M218" s="242"/>
      <c r="N218" s="244"/>
      <c r="O218" s="244" t="s">
        <v>1667</v>
      </c>
      <c r="P218" s="245">
        <f>ROUNDUP(G218*I218,-3)</f>
        <v>900000</v>
      </c>
      <c r="Q218" s="235"/>
      <c r="R218" s="997"/>
      <c r="S218" s="235"/>
      <c r="T218" s="246"/>
      <c r="V218" s="275"/>
    </row>
    <row r="219" spans="1:24" ht="14.45" customHeight="1">
      <c r="A219" s="224"/>
      <c r="B219" s="225"/>
      <c r="C219" s="226"/>
      <c r="D219" s="225"/>
      <c r="E219" s="226"/>
      <c r="F219" s="231" t="s">
        <v>1830</v>
      </c>
      <c r="G219" s="249"/>
      <c r="H219" s="240"/>
      <c r="I219" s="240"/>
      <c r="J219" s="240"/>
      <c r="K219" s="240"/>
      <c r="L219" s="250"/>
      <c r="M219" s="240"/>
      <c r="N219" s="244"/>
      <c r="O219" s="244"/>
      <c r="P219" s="251">
        <f>SUM(P220:P220)</f>
        <v>500000</v>
      </c>
      <c r="Q219" s="235"/>
      <c r="R219" s="997"/>
      <c r="S219" s="235"/>
      <c r="T219" s="246"/>
    </row>
    <row r="220" spans="1:24" ht="14.45" customHeight="1">
      <c r="A220" s="224"/>
      <c r="B220" s="225"/>
      <c r="C220" s="226"/>
      <c r="D220" s="225"/>
      <c r="E220" s="237"/>
      <c r="F220" s="238" t="s">
        <v>945</v>
      </c>
      <c r="G220" s="121">
        <v>500000</v>
      </c>
      <c r="H220" s="240" t="s">
        <v>1683</v>
      </c>
      <c r="I220" s="256">
        <v>1</v>
      </c>
      <c r="J220" s="240"/>
      <c r="K220" s="242"/>
      <c r="L220" s="243"/>
      <c r="M220" s="242"/>
      <c r="N220" s="244"/>
      <c r="O220" s="244" t="s">
        <v>1667</v>
      </c>
      <c r="P220" s="245">
        <f>ROUNDUP(G220*I220,-3)</f>
        <v>500000</v>
      </c>
      <c r="Q220" s="235"/>
      <c r="R220" s="997"/>
      <c r="S220" s="235"/>
      <c r="T220" s="246"/>
    </row>
    <row r="221" spans="1:24" ht="14.45" customHeight="1">
      <c r="A221" s="224"/>
      <c r="B221" s="225"/>
      <c r="C221" s="226"/>
      <c r="D221" s="225"/>
      <c r="E221" s="66" t="s">
        <v>1831</v>
      </c>
      <c r="F221" s="227"/>
      <c r="G221" s="228"/>
      <c r="H221" s="66"/>
      <c r="I221" s="66"/>
      <c r="J221" s="66"/>
      <c r="K221" s="66"/>
      <c r="L221" s="229"/>
      <c r="M221" s="66"/>
      <c r="N221" s="230"/>
      <c r="O221" s="230"/>
      <c r="P221" s="66"/>
      <c r="Q221" s="171">
        <f>P222</f>
        <v>1400000</v>
      </c>
      <c r="R221" s="171">
        <v>300000</v>
      </c>
      <c r="S221" s="171">
        <f>Q221-R221</f>
        <v>1100000</v>
      </c>
      <c r="T221" s="172">
        <f t="shared" ref="T221" si="24">S221/R221</f>
        <v>3.6666666666666665</v>
      </c>
    </row>
    <row r="222" spans="1:24" ht="14.45" customHeight="1">
      <c r="A222" s="224"/>
      <c r="B222" s="225"/>
      <c r="C222" s="226"/>
      <c r="D222" s="225"/>
      <c r="E222" s="226"/>
      <c r="F222" s="231" t="s">
        <v>1832</v>
      </c>
      <c r="G222" s="249"/>
      <c r="H222" s="240"/>
      <c r="I222" s="240"/>
      <c r="J222" s="240"/>
      <c r="K222" s="240"/>
      <c r="L222" s="250"/>
      <c r="M222" s="240"/>
      <c r="N222" s="244"/>
      <c r="O222" s="244"/>
      <c r="P222" s="251">
        <f>SUM(P223:P226)</f>
        <v>1400000</v>
      </c>
      <c r="Q222" s="235"/>
      <c r="R222" s="997"/>
      <c r="S222" s="235"/>
      <c r="T222" s="246"/>
    </row>
    <row r="223" spans="1:24" ht="14.45" customHeight="1">
      <c r="A223" s="224"/>
      <c r="B223" s="225"/>
      <c r="C223" s="226"/>
      <c r="D223" s="225"/>
      <c r="E223" s="237"/>
      <c r="F223" s="238" t="s">
        <v>1833</v>
      </c>
      <c r="G223" s="252">
        <v>300000</v>
      </c>
      <c r="H223" s="240" t="s">
        <v>109</v>
      </c>
      <c r="I223" s="256">
        <v>2</v>
      </c>
      <c r="J223" s="240"/>
      <c r="K223" s="242"/>
      <c r="L223" s="243"/>
      <c r="M223" s="242"/>
      <c r="N223" s="244"/>
      <c r="O223" s="244" t="s">
        <v>1667</v>
      </c>
      <c r="P223" s="245">
        <f>ROUNDUP(G223*I223,-3)</f>
        <v>600000</v>
      </c>
      <c r="Q223" s="235"/>
      <c r="R223" s="997"/>
      <c r="S223" s="235"/>
      <c r="T223" s="246"/>
      <c r="W223" s="275"/>
    </row>
    <row r="224" spans="1:24" ht="14.45" customHeight="1">
      <c r="A224" s="224"/>
      <c r="B224" s="225"/>
      <c r="C224" s="226"/>
      <c r="D224" s="225"/>
      <c r="E224" s="247"/>
      <c r="F224" s="248" t="s">
        <v>1834</v>
      </c>
      <c r="G224" s="249">
        <v>100000</v>
      </c>
      <c r="H224" s="240" t="s">
        <v>1683</v>
      </c>
      <c r="I224" s="256">
        <v>2</v>
      </c>
      <c r="J224" s="240"/>
      <c r="K224" s="242"/>
      <c r="L224" s="243"/>
      <c r="M224" s="242"/>
      <c r="N224" s="244"/>
      <c r="O224" s="244" t="s">
        <v>1667</v>
      </c>
      <c r="P224" s="245">
        <f>ROUNDUP(G224*I224,-3)</f>
        <v>200000</v>
      </c>
      <c r="Q224" s="235"/>
      <c r="R224" s="997"/>
      <c r="S224" s="235"/>
      <c r="T224" s="246"/>
    </row>
    <row r="225" spans="1:24" ht="14.45" customHeight="1">
      <c r="A225" s="224"/>
      <c r="B225" s="225"/>
      <c r="C225" s="226"/>
      <c r="D225" s="225"/>
      <c r="E225" s="247"/>
      <c r="F225" s="248" t="s">
        <v>1835</v>
      </c>
      <c r="G225" s="249">
        <v>200000</v>
      </c>
      <c r="H225" s="240" t="s">
        <v>1028</v>
      </c>
      <c r="I225" s="256">
        <v>2</v>
      </c>
      <c r="J225" s="240"/>
      <c r="K225" s="242"/>
      <c r="L225" s="243"/>
      <c r="M225" s="242"/>
      <c r="N225" s="244"/>
      <c r="O225" s="244" t="s">
        <v>347</v>
      </c>
      <c r="P225" s="245">
        <f>ROUNDUP(G225*I225,-3)</f>
        <v>400000</v>
      </c>
      <c r="Q225" s="235"/>
      <c r="R225" s="997"/>
      <c r="S225" s="235"/>
      <c r="T225" s="246"/>
    </row>
    <row r="226" spans="1:24" ht="14.45" customHeight="1">
      <c r="A226" s="224"/>
      <c r="B226" s="225"/>
      <c r="C226" s="226"/>
      <c r="D226" s="225"/>
      <c r="E226" s="247"/>
      <c r="F226" s="248" t="s">
        <v>1836</v>
      </c>
      <c r="G226" s="249">
        <v>200000</v>
      </c>
      <c r="H226" s="240" t="s">
        <v>1028</v>
      </c>
      <c r="I226" s="256">
        <v>1</v>
      </c>
      <c r="J226" s="240"/>
      <c r="K226" s="242"/>
      <c r="L226" s="243"/>
      <c r="M226" s="242"/>
      <c r="N226" s="244"/>
      <c r="O226" s="244" t="s">
        <v>1667</v>
      </c>
      <c r="P226" s="245">
        <f>ROUNDUP(G226*I226,-3)</f>
        <v>200000</v>
      </c>
      <c r="Q226" s="235"/>
      <c r="R226" s="997"/>
      <c r="S226" s="235"/>
      <c r="T226" s="246"/>
    </row>
    <row r="227" spans="1:24" ht="14.45" customHeight="1">
      <c r="A227" s="224"/>
      <c r="B227" s="225"/>
      <c r="C227" s="226"/>
      <c r="D227" s="225"/>
      <c r="E227" s="66" t="s">
        <v>1837</v>
      </c>
      <c r="F227" s="227"/>
      <c r="G227" s="228"/>
      <c r="H227" s="66"/>
      <c r="I227" s="66"/>
      <c r="J227" s="66"/>
      <c r="K227" s="66"/>
      <c r="L227" s="229"/>
      <c r="M227" s="66"/>
      <c r="N227" s="230"/>
      <c r="O227" s="230"/>
      <c r="P227" s="66"/>
      <c r="Q227" s="171">
        <f>P229</f>
        <v>0</v>
      </c>
      <c r="R227" s="171">
        <v>2500000</v>
      </c>
      <c r="S227" s="171">
        <f>Q227-R227</f>
        <v>-2500000</v>
      </c>
      <c r="T227" s="172">
        <f t="shared" ref="T227:T228" si="25">S227/R227</f>
        <v>-1</v>
      </c>
    </row>
    <row r="228" spans="1:24" ht="14.45" customHeight="1">
      <c r="A228" s="224"/>
      <c r="B228" s="225"/>
      <c r="C228" s="226"/>
      <c r="D228" s="225"/>
      <c r="E228" s="66" t="s">
        <v>250</v>
      </c>
      <c r="F228" s="227"/>
      <c r="G228" s="228"/>
      <c r="H228" s="66"/>
      <c r="I228" s="66"/>
      <c r="J228" s="66"/>
      <c r="K228" s="66"/>
      <c r="L228" s="229"/>
      <c r="M228" s="66"/>
      <c r="N228" s="230"/>
      <c r="O228" s="230"/>
      <c r="P228" s="66"/>
      <c r="Q228" s="171">
        <v>0</v>
      </c>
      <c r="R228" s="171">
        <v>500000</v>
      </c>
      <c r="S228" s="171">
        <f>Q228-R228</f>
        <v>-500000</v>
      </c>
      <c r="T228" s="172">
        <f t="shared" si="25"/>
        <v>-1</v>
      </c>
      <c r="W228" s="275"/>
    </row>
    <row r="229" spans="1:24" ht="14.45" customHeight="1">
      <c r="A229" s="224"/>
      <c r="B229" s="225"/>
      <c r="C229" s="226"/>
      <c r="D229" s="225"/>
      <c r="E229" s="66" t="s">
        <v>1838</v>
      </c>
      <c r="F229" s="227"/>
      <c r="G229" s="228"/>
      <c r="H229" s="66"/>
      <c r="I229" s="66"/>
      <c r="J229" s="66"/>
      <c r="K229" s="66"/>
      <c r="L229" s="229"/>
      <c r="M229" s="66"/>
      <c r="N229" s="230"/>
      <c r="O229" s="230"/>
      <c r="P229" s="66"/>
      <c r="Q229" s="171">
        <f>P230</f>
        <v>4742000</v>
      </c>
      <c r="R229" s="171">
        <v>0</v>
      </c>
      <c r="S229" s="171">
        <f>Q229-R229</f>
        <v>4742000</v>
      </c>
      <c r="T229" s="172">
        <v>1</v>
      </c>
    </row>
    <row r="230" spans="1:24" ht="14.45" customHeight="1">
      <c r="A230" s="224"/>
      <c r="B230" s="225"/>
      <c r="C230" s="226"/>
      <c r="D230" s="225"/>
      <c r="E230" s="226"/>
      <c r="F230" s="231" t="s">
        <v>946</v>
      </c>
      <c r="G230" s="249"/>
      <c r="H230" s="240"/>
      <c r="I230" s="240"/>
      <c r="J230" s="240"/>
      <c r="K230" s="240"/>
      <c r="L230" s="250"/>
      <c r="M230" s="240"/>
      <c r="N230" s="244"/>
      <c r="O230" s="244"/>
      <c r="P230" s="251">
        <f>SUM(P231:P232)</f>
        <v>4742000</v>
      </c>
      <c r="Q230" s="235"/>
      <c r="R230" s="997"/>
      <c r="S230" s="235"/>
      <c r="T230" s="246"/>
    </row>
    <row r="231" spans="1:24" ht="14.45" customHeight="1">
      <c r="A231" s="224"/>
      <c r="B231" s="225"/>
      <c r="C231" s="226"/>
      <c r="D231" s="225"/>
      <c r="E231" s="237"/>
      <c r="F231" s="238" t="s">
        <v>947</v>
      </c>
      <c r="G231" s="252">
        <v>1871000</v>
      </c>
      <c r="H231" s="240" t="s">
        <v>1683</v>
      </c>
      <c r="I231" s="256">
        <v>2</v>
      </c>
      <c r="J231" s="240"/>
      <c r="K231" s="242"/>
      <c r="L231" s="243"/>
      <c r="M231" s="242"/>
      <c r="N231" s="244"/>
      <c r="O231" s="244" t="s">
        <v>1667</v>
      </c>
      <c r="P231" s="245">
        <f>ROUNDUP(G231*I231,-3)</f>
        <v>3742000</v>
      </c>
      <c r="Q231" s="235"/>
      <c r="R231" s="997"/>
      <c r="S231" s="235"/>
      <c r="T231" s="246"/>
      <c r="W231" s="275">
        <f>G231/2</f>
        <v>935500</v>
      </c>
    </row>
    <row r="232" spans="1:24" ht="14.45" customHeight="1">
      <c r="A232" s="224"/>
      <c r="B232" s="225"/>
      <c r="C232" s="226"/>
      <c r="D232" s="225"/>
      <c r="E232" s="247"/>
      <c r="F232" s="248" t="s">
        <v>948</v>
      </c>
      <c r="G232" s="249">
        <v>500000</v>
      </c>
      <c r="H232" s="240" t="s">
        <v>1683</v>
      </c>
      <c r="I232" s="256">
        <v>2</v>
      </c>
      <c r="J232" s="240"/>
      <c r="K232" s="242"/>
      <c r="L232" s="243"/>
      <c r="M232" s="242"/>
      <c r="N232" s="244"/>
      <c r="O232" s="244" t="s">
        <v>1667</v>
      </c>
      <c r="P232" s="245">
        <f>ROUNDUP(G232*I232,-3)</f>
        <v>1000000</v>
      </c>
      <c r="Q232" s="235"/>
      <c r="R232" s="997"/>
      <c r="S232" s="235"/>
      <c r="T232" s="246"/>
      <c r="W232" s="1018">
        <f>G232/2</f>
        <v>250000</v>
      </c>
      <c r="X232" s="236"/>
    </row>
    <row r="233" spans="1:24" ht="14.45" customHeight="1">
      <c r="A233" s="224"/>
      <c r="B233" s="225"/>
      <c r="C233" s="226"/>
      <c r="D233" s="225"/>
      <c r="E233" s="66" t="s">
        <v>2443</v>
      </c>
      <c r="F233" s="227"/>
      <c r="G233" s="228"/>
      <c r="H233" s="66"/>
      <c r="I233" s="66"/>
      <c r="J233" s="66"/>
      <c r="K233" s="66"/>
      <c r="L233" s="229"/>
      <c r="M233" s="66"/>
      <c r="N233" s="230"/>
      <c r="O233" s="230"/>
      <c r="P233" s="66"/>
      <c r="Q233" s="171">
        <f>P234</f>
        <v>70200000</v>
      </c>
      <c r="R233" s="171">
        <v>73606000</v>
      </c>
      <c r="S233" s="171">
        <f>Q233-R233</f>
        <v>-3406000</v>
      </c>
      <c r="T233" s="172">
        <f t="shared" ref="T233" si="26">S233/R233</f>
        <v>-4.6273401624867538E-2</v>
      </c>
    </row>
    <row r="234" spans="1:24" ht="14.45" customHeight="1">
      <c r="A234" s="224"/>
      <c r="B234" s="225"/>
      <c r="C234" s="226"/>
      <c r="D234" s="225"/>
      <c r="E234" s="247"/>
      <c r="F234" s="231" t="s">
        <v>1839</v>
      </c>
      <c r="G234" s="252">
        <v>5850000</v>
      </c>
      <c r="H234" s="240" t="s">
        <v>1683</v>
      </c>
      <c r="I234" s="265">
        <v>12</v>
      </c>
      <c r="J234" s="240"/>
      <c r="K234" s="242"/>
      <c r="L234" s="243"/>
      <c r="M234" s="242"/>
      <c r="N234" s="244"/>
      <c r="O234" s="244" t="s">
        <v>110</v>
      </c>
      <c r="P234" s="251">
        <f>SUM(P235:P244)</f>
        <v>70200000</v>
      </c>
      <c r="Q234" s="235"/>
      <c r="R234" s="997"/>
      <c r="S234" s="235"/>
      <c r="T234" s="246"/>
    </row>
    <row r="235" spans="1:24" ht="14.45" customHeight="1">
      <c r="A235" s="224"/>
      <c r="B235" s="225"/>
      <c r="C235" s="226"/>
      <c r="D235" s="225"/>
      <c r="E235" s="247"/>
      <c r="F235" s="248" t="s">
        <v>1840</v>
      </c>
      <c r="G235" s="252">
        <v>100400000</v>
      </c>
      <c r="H235" s="240" t="s">
        <v>1683</v>
      </c>
      <c r="I235" s="1033">
        <v>0.6</v>
      </c>
      <c r="J235" s="240"/>
      <c r="K235" s="242"/>
      <c r="L235" s="243"/>
      <c r="M235" s="242"/>
      <c r="N235" s="244"/>
      <c r="O235" s="244" t="s">
        <v>347</v>
      </c>
      <c r="P235" s="245">
        <f t="shared" ref="P235:P244" si="27">ROUNDUP(G235*I235,-3)</f>
        <v>60240000</v>
      </c>
      <c r="Q235" s="235"/>
      <c r="R235" s="997"/>
      <c r="S235" s="235"/>
      <c r="T235" s="246"/>
    </row>
    <row r="236" spans="1:24" ht="14.45" customHeight="1">
      <c r="A236" s="224"/>
      <c r="B236" s="225"/>
      <c r="C236" s="226"/>
      <c r="D236" s="225"/>
      <c r="E236" s="247"/>
      <c r="F236" s="248" t="s">
        <v>1841</v>
      </c>
      <c r="G236" s="252">
        <v>300000</v>
      </c>
      <c r="H236" s="240" t="s">
        <v>1028</v>
      </c>
      <c r="I236" s="256">
        <v>1</v>
      </c>
      <c r="J236" s="240"/>
      <c r="K236" s="242"/>
      <c r="L236" s="243"/>
      <c r="M236" s="242"/>
      <c r="N236" s="244"/>
      <c r="O236" s="244" t="s">
        <v>347</v>
      </c>
      <c r="P236" s="245">
        <f t="shared" si="27"/>
        <v>300000</v>
      </c>
      <c r="Q236" s="235"/>
      <c r="R236" s="997"/>
      <c r="S236" s="235"/>
      <c r="T236" s="246"/>
    </row>
    <row r="237" spans="1:24" ht="14.45" customHeight="1">
      <c r="A237" s="224"/>
      <c r="B237" s="225"/>
      <c r="C237" s="226"/>
      <c r="D237" s="225"/>
      <c r="E237" s="247"/>
      <c r="F237" s="248" t="s">
        <v>1842</v>
      </c>
      <c r="G237" s="252">
        <v>150000</v>
      </c>
      <c r="H237" s="240" t="s">
        <v>1028</v>
      </c>
      <c r="I237" s="242">
        <v>12</v>
      </c>
      <c r="J237" s="240"/>
      <c r="K237" s="242"/>
      <c r="L237" s="243"/>
      <c r="M237" s="242"/>
      <c r="N237" s="244"/>
      <c r="O237" s="244" t="s">
        <v>347</v>
      </c>
      <c r="P237" s="245">
        <f t="shared" si="27"/>
        <v>1800000</v>
      </c>
      <c r="Q237" s="235"/>
      <c r="R237" s="997"/>
      <c r="S237" s="235"/>
      <c r="T237" s="246"/>
      <c r="W237" s="275"/>
    </row>
    <row r="238" spans="1:24" ht="14.45" customHeight="1">
      <c r="A238" s="224"/>
      <c r="B238" s="225"/>
      <c r="C238" s="226"/>
      <c r="D238" s="225"/>
      <c r="E238" s="247"/>
      <c r="F238" s="248" t="s">
        <v>1843</v>
      </c>
      <c r="G238" s="252">
        <v>100000</v>
      </c>
      <c r="H238" s="240" t="s">
        <v>1028</v>
      </c>
      <c r="I238" s="242">
        <v>12</v>
      </c>
      <c r="J238" s="240"/>
      <c r="K238" s="242"/>
      <c r="L238" s="243"/>
      <c r="M238" s="242"/>
      <c r="N238" s="244"/>
      <c r="O238" s="244" t="s">
        <v>347</v>
      </c>
      <c r="P238" s="245">
        <f t="shared" si="27"/>
        <v>1200000</v>
      </c>
      <c r="Q238" s="235"/>
      <c r="R238" s="997"/>
      <c r="S238" s="235"/>
      <c r="T238" s="246"/>
    </row>
    <row r="239" spans="1:24" ht="14.45" customHeight="1">
      <c r="A239" s="224"/>
      <c r="B239" s="225"/>
      <c r="C239" s="226"/>
      <c r="D239" s="225"/>
      <c r="E239" s="247"/>
      <c r="F239" s="248" t="s">
        <v>1844</v>
      </c>
      <c r="G239" s="252">
        <v>85000000</v>
      </c>
      <c r="H239" s="240" t="s">
        <v>1028</v>
      </c>
      <c r="I239" s="1577">
        <v>8.0000000000000002E-3</v>
      </c>
      <c r="J239" s="240"/>
      <c r="K239" s="242"/>
      <c r="L239" s="243"/>
      <c r="M239" s="242"/>
      <c r="N239" s="244"/>
      <c r="O239" s="244" t="s">
        <v>347</v>
      </c>
      <c r="P239" s="245">
        <f t="shared" si="27"/>
        <v>680000</v>
      </c>
      <c r="Q239" s="235"/>
      <c r="R239" s="997"/>
      <c r="S239" s="235"/>
      <c r="T239" s="246"/>
    </row>
    <row r="240" spans="1:24" ht="14.45" customHeight="1">
      <c r="A240" s="224"/>
      <c r="B240" s="225"/>
      <c r="C240" s="226"/>
      <c r="D240" s="225"/>
      <c r="E240" s="247"/>
      <c r="F240" s="248" t="s">
        <v>1845</v>
      </c>
      <c r="G240" s="252">
        <v>200000</v>
      </c>
      <c r="H240" s="240" t="s">
        <v>1028</v>
      </c>
      <c r="I240" s="242">
        <v>5</v>
      </c>
      <c r="J240" s="240"/>
      <c r="K240" s="242"/>
      <c r="L240" s="243"/>
      <c r="M240" s="242"/>
      <c r="N240" s="244"/>
      <c r="O240" s="244" t="s">
        <v>347</v>
      </c>
      <c r="P240" s="245">
        <f t="shared" si="27"/>
        <v>1000000</v>
      </c>
      <c r="Q240" s="235"/>
      <c r="R240" s="997"/>
      <c r="S240" s="235"/>
      <c r="T240" s="246"/>
    </row>
    <row r="241" spans="1:20" ht="14.45" customHeight="1">
      <c r="A241" s="224"/>
      <c r="B241" s="225"/>
      <c r="C241" s="226"/>
      <c r="D241" s="225"/>
      <c r="E241" s="247"/>
      <c r="F241" s="248" t="s">
        <v>1846</v>
      </c>
      <c r="G241" s="252">
        <v>120000</v>
      </c>
      <c r="H241" s="240" t="s">
        <v>1028</v>
      </c>
      <c r="I241" s="256">
        <v>2</v>
      </c>
      <c r="J241" s="240"/>
      <c r="K241" s="242"/>
      <c r="L241" s="243"/>
      <c r="M241" s="242"/>
      <c r="N241" s="244"/>
      <c r="O241" s="244" t="s">
        <v>347</v>
      </c>
      <c r="P241" s="245">
        <f t="shared" si="27"/>
        <v>240000</v>
      </c>
      <c r="Q241" s="235"/>
      <c r="R241" s="997"/>
      <c r="S241" s="235"/>
      <c r="T241" s="246"/>
    </row>
    <row r="242" spans="1:20" ht="14.45" customHeight="1">
      <c r="A242" s="224"/>
      <c r="B242" s="225"/>
      <c r="C242" s="226"/>
      <c r="D242" s="225"/>
      <c r="E242" s="247"/>
      <c r="F242" s="248" t="s">
        <v>1847</v>
      </c>
      <c r="G242" s="252">
        <v>600000</v>
      </c>
      <c r="H242" s="240" t="s">
        <v>1028</v>
      </c>
      <c r="I242" s="256">
        <v>5</v>
      </c>
      <c r="J242" s="240"/>
      <c r="K242" s="242"/>
      <c r="L242" s="243"/>
      <c r="M242" s="242"/>
      <c r="N242" s="244"/>
      <c r="O242" s="244" t="s">
        <v>347</v>
      </c>
      <c r="P242" s="245">
        <f t="shared" si="27"/>
        <v>3000000</v>
      </c>
      <c r="Q242" s="235"/>
      <c r="R242" s="997"/>
      <c r="S242" s="235"/>
      <c r="T242" s="246"/>
    </row>
    <row r="243" spans="1:20" ht="14.45" customHeight="1">
      <c r="A243" s="224"/>
      <c r="B243" s="225"/>
      <c r="C243" s="226"/>
      <c r="D243" s="225"/>
      <c r="E243" s="247"/>
      <c r="F243" s="248" t="s">
        <v>1848</v>
      </c>
      <c r="G243" s="252">
        <v>100000</v>
      </c>
      <c r="H243" s="240" t="s">
        <v>1028</v>
      </c>
      <c r="I243" s="242">
        <v>12</v>
      </c>
      <c r="J243" s="240"/>
      <c r="K243" s="242"/>
      <c r="L243" s="243"/>
      <c r="M243" s="242"/>
      <c r="N243" s="244"/>
      <c r="O243" s="244" t="s">
        <v>347</v>
      </c>
      <c r="P243" s="245">
        <f t="shared" si="27"/>
        <v>1200000</v>
      </c>
      <c r="Q243" s="235"/>
      <c r="R243" s="997"/>
      <c r="S243" s="235"/>
      <c r="T243" s="246"/>
    </row>
    <row r="244" spans="1:20" ht="14.45" customHeight="1">
      <c r="A244" s="224"/>
      <c r="B244" s="225"/>
      <c r="C244" s="226"/>
      <c r="D244" s="225"/>
      <c r="E244" s="247"/>
      <c r="F244" s="248" t="s">
        <v>1849</v>
      </c>
      <c r="G244" s="252">
        <v>540000</v>
      </c>
      <c r="H244" s="240" t="s">
        <v>1028</v>
      </c>
      <c r="I244" s="256">
        <v>1</v>
      </c>
      <c r="J244" s="240"/>
      <c r="K244" s="242"/>
      <c r="L244" s="243"/>
      <c r="M244" s="242"/>
      <c r="N244" s="244"/>
      <c r="O244" s="244" t="s">
        <v>347</v>
      </c>
      <c r="P244" s="245">
        <f t="shared" si="27"/>
        <v>540000</v>
      </c>
      <c r="Q244" s="235"/>
      <c r="R244" s="997"/>
      <c r="S244" s="235"/>
      <c r="T244" s="246"/>
    </row>
    <row r="245" spans="1:20" ht="14.45" customHeight="1">
      <c r="A245" s="224"/>
      <c r="B245" s="225"/>
      <c r="C245" s="226"/>
      <c r="D245" s="225"/>
      <c r="E245" s="66" t="s">
        <v>2444</v>
      </c>
      <c r="F245" s="269"/>
      <c r="G245" s="270"/>
      <c r="H245" s="268"/>
      <c r="I245" s="268"/>
      <c r="J245" s="268"/>
      <c r="K245" s="268"/>
      <c r="L245" s="1556"/>
      <c r="M245" s="268"/>
      <c r="N245" s="271"/>
      <c r="O245" s="271"/>
      <c r="P245" s="268"/>
      <c r="Q245" s="171">
        <f>P247+P251+P256+P260+P264</f>
        <v>15500000</v>
      </c>
      <c r="R245" s="171">
        <v>0</v>
      </c>
      <c r="S245" s="171">
        <f>Q245-R245</f>
        <v>15500000</v>
      </c>
      <c r="T245" s="172">
        <v>1</v>
      </c>
    </row>
    <row r="246" spans="1:20" ht="14.45" customHeight="1">
      <c r="A246" s="224"/>
      <c r="B246" s="225"/>
      <c r="C246" s="226"/>
      <c r="D246" s="225"/>
      <c r="E246" s="226"/>
      <c r="F246" s="1845" t="s">
        <v>1850</v>
      </c>
      <c r="G246" s="1846"/>
      <c r="H246" s="1847"/>
      <c r="I246" s="1847"/>
      <c r="J246" s="1847"/>
      <c r="K246" s="1847"/>
      <c r="L246" s="1848"/>
      <c r="M246" s="1847"/>
      <c r="N246" s="1849"/>
      <c r="O246" s="1849"/>
      <c r="P246" s="1850">
        <f>P247+P251</f>
        <v>5000000</v>
      </c>
      <c r="Q246" s="235"/>
      <c r="R246" s="997"/>
      <c r="S246" s="235"/>
      <c r="T246" s="246"/>
    </row>
    <row r="247" spans="1:20" ht="14.45" customHeight="1">
      <c r="A247" s="224"/>
      <c r="B247" s="225"/>
      <c r="C247" s="226"/>
      <c r="D247" s="225"/>
      <c r="E247" s="226"/>
      <c r="F247" s="238" t="s">
        <v>1851</v>
      </c>
      <c r="G247" s="252"/>
      <c r="H247" s="240"/>
      <c r="I247" s="265"/>
      <c r="J247" s="240"/>
      <c r="K247" s="242"/>
      <c r="L247" s="243"/>
      <c r="M247" s="242"/>
      <c r="N247" s="244"/>
      <c r="O247" s="244"/>
      <c r="P247" s="251">
        <f>SUM(P248:P250)</f>
        <v>3000000</v>
      </c>
      <c r="Q247" s="235"/>
      <c r="R247" s="997"/>
      <c r="S247" s="235"/>
      <c r="T247" s="246"/>
    </row>
    <row r="248" spans="1:20" ht="14.45" customHeight="1">
      <c r="A248" s="224"/>
      <c r="B248" s="225"/>
      <c r="C248" s="226"/>
      <c r="D248" s="225"/>
      <c r="E248" s="226"/>
      <c r="F248" s="231" t="s">
        <v>2738</v>
      </c>
      <c r="G248" s="249">
        <v>250000</v>
      </c>
      <c r="H248" s="240" t="s">
        <v>282</v>
      </c>
      <c r="I248" s="256">
        <v>5</v>
      </c>
      <c r="J248" s="240"/>
      <c r="K248" s="242"/>
      <c r="L248" s="243"/>
      <c r="M248" s="242"/>
      <c r="N248" s="244"/>
      <c r="O248" s="244" t="s">
        <v>1520</v>
      </c>
      <c r="P248" s="245">
        <f t="shared" ref="P248:P250" si="28">ROUNDUP(G248*I248,-3)</f>
        <v>1250000</v>
      </c>
      <c r="Q248" s="235"/>
      <c r="R248" s="997"/>
      <c r="S248" s="235"/>
      <c r="T248" s="246"/>
    </row>
    <row r="249" spans="1:20" ht="14.45" customHeight="1">
      <c r="A249" s="224"/>
      <c r="B249" s="225"/>
      <c r="C249" s="226"/>
      <c r="D249" s="225"/>
      <c r="E249" s="226"/>
      <c r="F249" s="231" t="s">
        <v>2739</v>
      </c>
      <c r="G249" s="249">
        <v>250000</v>
      </c>
      <c r="H249" s="240" t="s">
        <v>282</v>
      </c>
      <c r="I249" s="256">
        <v>1</v>
      </c>
      <c r="J249" s="240"/>
      <c r="K249" s="242"/>
      <c r="L249" s="243"/>
      <c r="M249" s="242"/>
      <c r="N249" s="244"/>
      <c r="O249" s="244" t="s">
        <v>1520</v>
      </c>
      <c r="P249" s="245">
        <f t="shared" si="28"/>
        <v>250000</v>
      </c>
      <c r="Q249" s="235"/>
      <c r="R249" s="997"/>
      <c r="S249" s="235"/>
      <c r="T249" s="246"/>
    </row>
    <row r="250" spans="1:20" ht="14.45" customHeight="1">
      <c r="A250" s="224"/>
      <c r="B250" s="225"/>
      <c r="C250" s="226"/>
      <c r="D250" s="225"/>
      <c r="E250" s="226"/>
      <c r="F250" s="231" t="s">
        <v>2740</v>
      </c>
      <c r="G250" s="249">
        <v>300000</v>
      </c>
      <c r="H250" s="240" t="s">
        <v>282</v>
      </c>
      <c r="I250" s="256">
        <v>5</v>
      </c>
      <c r="J250" s="240"/>
      <c r="K250" s="242"/>
      <c r="L250" s="243"/>
      <c r="M250" s="242"/>
      <c r="N250" s="244"/>
      <c r="O250" s="244" t="s">
        <v>1520</v>
      </c>
      <c r="P250" s="245">
        <f t="shared" si="28"/>
        <v>1500000</v>
      </c>
      <c r="Q250" s="235"/>
      <c r="R250" s="997"/>
      <c r="S250" s="235"/>
      <c r="T250" s="246"/>
    </row>
    <row r="251" spans="1:20" ht="14.45" customHeight="1">
      <c r="A251" s="224"/>
      <c r="B251" s="225"/>
      <c r="C251" s="226"/>
      <c r="D251" s="225"/>
      <c r="E251" s="226"/>
      <c r="F251" s="238" t="s">
        <v>1852</v>
      </c>
      <c r="G251" s="252"/>
      <c r="H251" s="240"/>
      <c r="I251" s="265"/>
      <c r="J251" s="240"/>
      <c r="K251" s="242"/>
      <c r="L251" s="243"/>
      <c r="M251" s="242"/>
      <c r="N251" s="244"/>
      <c r="O251" s="244"/>
      <c r="P251" s="251">
        <f>SUM(P252:P254)</f>
        <v>2000000</v>
      </c>
      <c r="Q251" s="235"/>
      <c r="R251" s="997"/>
      <c r="S251" s="235"/>
      <c r="T251" s="246"/>
    </row>
    <row r="252" spans="1:20" ht="14.45" customHeight="1">
      <c r="A252" s="224"/>
      <c r="B252" s="225"/>
      <c r="C252" s="226"/>
      <c r="D252" s="225"/>
      <c r="E252" s="226"/>
      <c r="F252" s="231" t="s">
        <v>2698</v>
      </c>
      <c r="G252" s="249">
        <v>3000</v>
      </c>
      <c r="H252" s="240" t="s">
        <v>282</v>
      </c>
      <c r="I252" s="241">
        <v>8</v>
      </c>
      <c r="J252" s="240" t="s">
        <v>282</v>
      </c>
      <c r="K252" s="256">
        <v>10</v>
      </c>
      <c r="L252" s="243"/>
      <c r="M252" s="242"/>
      <c r="N252" s="244"/>
      <c r="O252" s="244" t="s">
        <v>1520</v>
      </c>
      <c r="P252" s="245">
        <f>ROUNDUP(G252*I252*K252,-3)</f>
        <v>240000</v>
      </c>
      <c r="Q252" s="235"/>
      <c r="R252" s="997"/>
      <c r="S252" s="235"/>
      <c r="T252" s="246"/>
    </row>
    <row r="253" spans="1:20" ht="14.45" customHeight="1">
      <c r="A253" s="224"/>
      <c r="B253" s="225"/>
      <c r="C253" s="226"/>
      <c r="D253" s="225"/>
      <c r="E253" s="226"/>
      <c r="F253" s="231" t="s">
        <v>2739</v>
      </c>
      <c r="G253" s="249">
        <v>100000</v>
      </c>
      <c r="H253" s="240" t="s">
        <v>282</v>
      </c>
      <c r="I253" s="256">
        <v>1</v>
      </c>
      <c r="J253" s="240"/>
      <c r="K253" s="242"/>
      <c r="L253" s="243"/>
      <c r="M253" s="242"/>
      <c r="N253" s="244"/>
      <c r="O253" s="244" t="s">
        <v>1520</v>
      </c>
      <c r="P253" s="245">
        <f t="shared" ref="P253:P254" si="29">ROUNDUP(G253*I253,-3)</f>
        <v>100000</v>
      </c>
      <c r="Q253" s="235"/>
      <c r="R253" s="997"/>
      <c r="S253" s="235"/>
      <c r="T253" s="246"/>
    </row>
    <row r="254" spans="1:20" ht="14.45" customHeight="1">
      <c r="A254" s="224"/>
      <c r="B254" s="225"/>
      <c r="C254" s="226"/>
      <c r="D254" s="225"/>
      <c r="E254" s="226"/>
      <c r="F254" s="231" t="s">
        <v>2741</v>
      </c>
      <c r="G254" s="249">
        <v>16600</v>
      </c>
      <c r="H254" s="240" t="s">
        <v>282</v>
      </c>
      <c r="I254" s="1854">
        <v>100</v>
      </c>
      <c r="J254" s="240"/>
      <c r="K254" s="242"/>
      <c r="L254" s="243"/>
      <c r="M254" s="242"/>
      <c r="N254" s="244"/>
      <c r="O254" s="244" t="s">
        <v>1520</v>
      </c>
      <c r="P254" s="245">
        <f t="shared" si="29"/>
        <v>1660000</v>
      </c>
      <c r="Q254" s="235"/>
      <c r="R254" s="997"/>
      <c r="S254" s="235"/>
      <c r="T254" s="246"/>
    </row>
    <row r="255" spans="1:20" ht="14.45" customHeight="1">
      <c r="A255" s="224"/>
      <c r="B255" s="225"/>
      <c r="C255" s="226"/>
      <c r="D255" s="225"/>
      <c r="E255" s="226"/>
      <c r="F255" s="1845" t="s">
        <v>1853</v>
      </c>
      <c r="G255" s="1846"/>
      <c r="H255" s="1847"/>
      <c r="I255" s="1847"/>
      <c r="J255" s="1847"/>
      <c r="K255" s="1847"/>
      <c r="L255" s="1848"/>
      <c r="M255" s="1847"/>
      <c r="N255" s="1849"/>
      <c r="O255" s="1849"/>
      <c r="P255" s="1850">
        <f>P256+P260</f>
        <v>8000000</v>
      </c>
      <c r="Q255" s="235"/>
      <c r="R255" s="997"/>
      <c r="S255" s="235"/>
      <c r="T255" s="246"/>
    </row>
    <row r="256" spans="1:20" ht="14.45" customHeight="1">
      <c r="A256" s="224"/>
      <c r="B256" s="225"/>
      <c r="C256" s="226"/>
      <c r="D256" s="225"/>
      <c r="E256" s="226"/>
      <c r="F256" s="238" t="s">
        <v>1854</v>
      </c>
      <c r="G256" s="252"/>
      <c r="H256" s="240"/>
      <c r="I256" s="265"/>
      <c r="J256" s="240"/>
      <c r="K256" s="242"/>
      <c r="L256" s="243"/>
      <c r="M256" s="242"/>
      <c r="N256" s="244"/>
      <c r="O256" s="244"/>
      <c r="P256" s="251">
        <f>SUM(P257:P259)</f>
        <v>2000000</v>
      </c>
      <c r="Q256" s="235"/>
      <c r="R256" s="997"/>
      <c r="S256" s="235"/>
      <c r="T256" s="246"/>
    </row>
    <row r="257" spans="1:24" ht="14.45" customHeight="1">
      <c r="A257" s="224"/>
      <c r="B257" s="225"/>
      <c r="C257" s="226"/>
      <c r="D257" s="225"/>
      <c r="E257" s="226"/>
      <c r="F257" s="231" t="s">
        <v>2742</v>
      </c>
      <c r="G257" s="249">
        <v>300000</v>
      </c>
      <c r="H257" s="240" t="s">
        <v>282</v>
      </c>
      <c r="I257" s="256">
        <v>1</v>
      </c>
      <c r="J257" s="240"/>
      <c r="K257" s="256"/>
      <c r="L257" s="243"/>
      <c r="M257" s="242"/>
      <c r="N257" s="244"/>
      <c r="O257" s="244" t="s">
        <v>1520</v>
      </c>
      <c r="P257" s="245">
        <f>ROUNDUP(G257*I257,-3)</f>
        <v>300000</v>
      </c>
      <c r="Q257" s="235"/>
      <c r="R257" s="997"/>
      <c r="S257" s="235"/>
      <c r="T257" s="246"/>
    </row>
    <row r="258" spans="1:24" ht="14.45" customHeight="1">
      <c r="A258" s="224"/>
      <c r="B258" s="225"/>
      <c r="C258" s="226"/>
      <c r="D258" s="225"/>
      <c r="E258" s="226"/>
      <c r="F258" s="231" t="s">
        <v>2739</v>
      </c>
      <c r="G258" s="249">
        <v>500000</v>
      </c>
      <c r="H258" s="240" t="s">
        <v>282</v>
      </c>
      <c r="I258" s="256">
        <v>1</v>
      </c>
      <c r="J258" s="240"/>
      <c r="K258" s="242"/>
      <c r="L258" s="243"/>
      <c r="M258" s="242"/>
      <c r="N258" s="244"/>
      <c r="O258" s="244" t="s">
        <v>1520</v>
      </c>
      <c r="P258" s="245">
        <f>ROUNDUP(G258*I258,-3)</f>
        <v>500000</v>
      </c>
      <c r="Q258" s="235"/>
      <c r="R258" s="997"/>
      <c r="S258" s="235"/>
      <c r="T258" s="246"/>
    </row>
    <row r="259" spans="1:24" ht="14.45" customHeight="1">
      <c r="A259" s="224"/>
      <c r="B259" s="225"/>
      <c r="C259" s="226"/>
      <c r="D259" s="225"/>
      <c r="E259" s="226"/>
      <c r="F259" s="231" t="s">
        <v>2743</v>
      </c>
      <c r="G259" s="249">
        <v>1200000</v>
      </c>
      <c r="H259" s="240" t="s">
        <v>282</v>
      </c>
      <c r="I259" s="256">
        <v>1</v>
      </c>
      <c r="J259" s="240"/>
      <c r="K259" s="242"/>
      <c r="L259" s="243"/>
      <c r="M259" s="242"/>
      <c r="N259" s="244"/>
      <c r="O259" s="244" t="s">
        <v>1520</v>
      </c>
      <c r="P259" s="245">
        <f t="shared" ref="P259" si="30">ROUNDUP(G259*I259,-3)</f>
        <v>1200000</v>
      </c>
      <c r="Q259" s="235"/>
      <c r="R259" s="997"/>
      <c r="S259" s="235"/>
      <c r="T259" s="246"/>
    </row>
    <row r="260" spans="1:24" ht="14.45" customHeight="1">
      <c r="A260" s="224"/>
      <c r="B260" s="225"/>
      <c r="C260" s="226"/>
      <c r="D260" s="225"/>
      <c r="E260" s="226"/>
      <c r="F260" s="238" t="s">
        <v>1855</v>
      </c>
      <c r="G260" s="252"/>
      <c r="H260" s="240"/>
      <c r="I260" s="265"/>
      <c r="J260" s="240"/>
      <c r="K260" s="242"/>
      <c r="L260" s="243"/>
      <c r="M260" s="242"/>
      <c r="N260" s="244"/>
      <c r="O260" s="244"/>
      <c r="P260" s="251">
        <f>SUM(P261:P262)</f>
        <v>6000000</v>
      </c>
      <c r="Q260" s="235"/>
      <c r="R260" s="997"/>
      <c r="S260" s="235"/>
      <c r="T260" s="246"/>
      <c r="W260" s="275"/>
    </row>
    <row r="261" spans="1:24" ht="14.45" customHeight="1">
      <c r="A261" s="224"/>
      <c r="B261" s="225"/>
      <c r="C261" s="226"/>
      <c r="D261" s="225"/>
      <c r="E261" s="226"/>
      <c r="F261" s="231" t="s">
        <v>2742</v>
      </c>
      <c r="G261" s="249">
        <v>200000</v>
      </c>
      <c r="H261" s="240" t="s">
        <v>282</v>
      </c>
      <c r="I261" s="256">
        <v>6</v>
      </c>
      <c r="J261" s="240"/>
      <c r="K261" s="256"/>
      <c r="L261" s="243"/>
      <c r="M261" s="242"/>
      <c r="N261" s="244"/>
      <c r="O261" s="244" t="s">
        <v>1520</v>
      </c>
      <c r="P261" s="245">
        <f>ROUNDUP(G261*I261,-3)</f>
        <v>1200000</v>
      </c>
      <c r="Q261" s="235"/>
      <c r="R261" s="997"/>
      <c r="S261" s="235"/>
      <c r="T261" s="246"/>
      <c r="W261" s="275"/>
    </row>
    <row r="262" spans="1:24" ht="14.45" customHeight="1">
      <c r="A262" s="224"/>
      <c r="B262" s="225"/>
      <c r="C262" s="226"/>
      <c r="D262" s="225"/>
      <c r="E262" s="226"/>
      <c r="F262" s="231" t="s">
        <v>2739</v>
      </c>
      <c r="G262" s="249">
        <v>800000</v>
      </c>
      <c r="H262" s="240" t="s">
        <v>282</v>
      </c>
      <c r="I262" s="256">
        <v>6</v>
      </c>
      <c r="J262" s="240"/>
      <c r="K262" s="242"/>
      <c r="L262" s="243"/>
      <c r="M262" s="242"/>
      <c r="N262" s="244"/>
      <c r="O262" s="244" t="s">
        <v>1520</v>
      </c>
      <c r="P262" s="245">
        <f>ROUNDUP(G262*I262,-3)</f>
        <v>4800000</v>
      </c>
      <c r="Q262" s="235"/>
      <c r="R262" s="997"/>
      <c r="S262" s="235"/>
      <c r="T262" s="246"/>
      <c r="W262" s="275"/>
    </row>
    <row r="263" spans="1:24" ht="14.45" customHeight="1">
      <c r="A263" s="224"/>
      <c r="B263" s="225"/>
      <c r="C263" s="226"/>
      <c r="D263" s="225"/>
      <c r="E263" s="226"/>
      <c r="F263" s="1845" t="s">
        <v>1856</v>
      </c>
      <c r="G263" s="1846"/>
      <c r="H263" s="1847"/>
      <c r="I263" s="1851"/>
      <c r="J263" s="1847"/>
      <c r="K263" s="1852"/>
      <c r="L263" s="1853"/>
      <c r="M263" s="1852"/>
      <c r="N263" s="1849"/>
      <c r="O263" s="1849"/>
      <c r="P263" s="1850">
        <f>P264</f>
        <v>2500000</v>
      </c>
      <c r="Q263" s="235"/>
      <c r="R263" s="997"/>
      <c r="S263" s="235"/>
      <c r="T263" s="246"/>
    </row>
    <row r="264" spans="1:24" ht="14.45" customHeight="1">
      <c r="A264" s="224"/>
      <c r="B264" s="225"/>
      <c r="C264" s="226"/>
      <c r="D264" s="225"/>
      <c r="E264" s="247"/>
      <c r="F264" s="248" t="s">
        <v>1857</v>
      </c>
      <c r="G264" s="252"/>
      <c r="H264" s="240"/>
      <c r="I264" s="265"/>
      <c r="J264" s="240"/>
      <c r="K264" s="242"/>
      <c r="L264" s="243"/>
      <c r="M264" s="242"/>
      <c r="N264" s="244"/>
      <c r="O264" s="244"/>
      <c r="P264" s="251">
        <f>SUM(P265:P267)</f>
        <v>2500000</v>
      </c>
      <c r="Q264" s="235"/>
      <c r="R264" s="997"/>
      <c r="S264" s="235"/>
      <c r="T264" s="246"/>
    </row>
    <row r="265" spans="1:24" ht="14.45" customHeight="1">
      <c r="A265" s="224"/>
      <c r="B265" s="225"/>
      <c r="C265" s="226"/>
      <c r="D265" s="225"/>
      <c r="E265" s="1855"/>
      <c r="F265" s="231" t="s">
        <v>2744</v>
      </c>
      <c r="G265" s="249">
        <v>500000</v>
      </c>
      <c r="H265" s="240" t="s">
        <v>282</v>
      </c>
      <c r="I265" s="256">
        <v>1</v>
      </c>
      <c r="J265" s="240"/>
      <c r="K265" s="256"/>
      <c r="L265" s="243"/>
      <c r="M265" s="242"/>
      <c r="N265" s="244"/>
      <c r="O265" s="244" t="s">
        <v>1520</v>
      </c>
      <c r="P265" s="245">
        <f>ROUNDUP(G265*I265,-3)</f>
        <v>500000</v>
      </c>
      <c r="Q265" s="235"/>
      <c r="R265" s="997"/>
      <c r="S265" s="235"/>
      <c r="T265" s="246"/>
    </row>
    <row r="266" spans="1:24" ht="14.45" customHeight="1">
      <c r="A266" s="224"/>
      <c r="B266" s="225"/>
      <c r="C266" s="226"/>
      <c r="D266" s="225"/>
      <c r="E266" s="1855"/>
      <c r="F266" s="231" t="s">
        <v>2745</v>
      </c>
      <c r="G266" s="249">
        <v>1000000</v>
      </c>
      <c r="H266" s="240" t="s">
        <v>282</v>
      </c>
      <c r="I266" s="256">
        <v>1</v>
      </c>
      <c r="J266" s="240"/>
      <c r="K266" s="242"/>
      <c r="L266" s="243"/>
      <c r="M266" s="242"/>
      <c r="N266" s="244"/>
      <c r="O266" s="244" t="s">
        <v>1520</v>
      </c>
      <c r="P266" s="245">
        <f>ROUNDUP(G266*I266,-3)</f>
        <v>1000000</v>
      </c>
      <c r="Q266" s="235"/>
      <c r="R266" s="997"/>
      <c r="S266" s="235"/>
      <c r="T266" s="246"/>
    </row>
    <row r="267" spans="1:24" ht="14.45" customHeight="1">
      <c r="A267" s="576"/>
      <c r="B267" s="278"/>
      <c r="C267" s="279"/>
      <c r="D267" s="278"/>
      <c r="E267" s="280"/>
      <c r="F267" s="231" t="s">
        <v>2743</v>
      </c>
      <c r="G267" s="249">
        <v>200000</v>
      </c>
      <c r="H267" s="240" t="s">
        <v>282</v>
      </c>
      <c r="I267" s="256">
        <v>5</v>
      </c>
      <c r="J267" s="240"/>
      <c r="K267" s="242"/>
      <c r="L267" s="243"/>
      <c r="M267" s="242"/>
      <c r="N267" s="244"/>
      <c r="O267" s="244" t="s">
        <v>1520</v>
      </c>
      <c r="P267" s="245">
        <f t="shared" ref="P267" si="31">ROUNDUP(G267*I267,-3)</f>
        <v>1000000</v>
      </c>
      <c r="Q267" s="287"/>
      <c r="R267" s="1027"/>
      <c r="S267" s="287"/>
      <c r="T267" s="288"/>
    </row>
    <row r="268" spans="1:24" ht="14.45" customHeight="1">
      <c r="A268" s="224"/>
      <c r="B268" s="225"/>
      <c r="C268" s="205" t="s">
        <v>1858</v>
      </c>
      <c r="D268" s="206"/>
      <c r="E268" s="206"/>
      <c r="F268" s="207"/>
      <c r="G268" s="208"/>
      <c r="H268" s="209"/>
      <c r="I268" s="209"/>
      <c r="J268" s="209"/>
      <c r="K268" s="209"/>
      <c r="L268" s="581"/>
      <c r="M268" s="209"/>
      <c r="N268" s="210"/>
      <c r="O268" s="210"/>
      <c r="P268" s="209"/>
      <c r="Q268" s="211">
        <f>Q269</f>
        <v>1000000</v>
      </c>
      <c r="R268" s="211">
        <f>R269</f>
        <v>0</v>
      </c>
      <c r="S268" s="211">
        <f>Q268-R268</f>
        <v>1000000</v>
      </c>
      <c r="T268" s="212">
        <v>1</v>
      </c>
    </row>
    <row r="269" spans="1:24" ht="14.45" customHeight="1">
      <c r="A269" s="224"/>
      <c r="B269" s="225"/>
      <c r="C269" s="222"/>
      <c r="D269" s="394" t="s">
        <v>1859</v>
      </c>
      <c r="E269" s="84"/>
      <c r="F269" s="85"/>
      <c r="G269" s="86"/>
      <c r="H269" s="84"/>
      <c r="I269" s="84"/>
      <c r="J269" s="84"/>
      <c r="K269" s="84"/>
      <c r="L269" s="83"/>
      <c r="M269" s="84"/>
      <c r="N269" s="87"/>
      <c r="O269" s="87"/>
      <c r="P269" s="84"/>
      <c r="Q269" s="76">
        <f>Q270</f>
        <v>1000000</v>
      </c>
      <c r="R269" s="76">
        <f>R270</f>
        <v>0</v>
      </c>
      <c r="S269" s="76">
        <f>Q269-R269</f>
        <v>1000000</v>
      </c>
      <c r="T269" s="77">
        <v>1</v>
      </c>
    </row>
    <row r="270" spans="1:24" ht="14.45" customHeight="1">
      <c r="A270" s="224"/>
      <c r="B270" s="225"/>
      <c r="C270" s="222"/>
      <c r="D270" s="222"/>
      <c r="E270" s="66" t="s">
        <v>1860</v>
      </c>
      <c r="F270" s="227"/>
      <c r="G270" s="228"/>
      <c r="H270" s="66"/>
      <c r="I270" s="66"/>
      <c r="J270" s="66"/>
      <c r="K270" s="66"/>
      <c r="L270" s="229"/>
      <c r="M270" s="66"/>
      <c r="N270" s="230"/>
      <c r="O270" s="230"/>
      <c r="P270" s="66"/>
      <c r="Q270" s="171">
        <f>ROUNDUP(P271+P273,-3)</f>
        <v>1000000</v>
      </c>
      <c r="R270" s="171">
        <v>0</v>
      </c>
      <c r="S270" s="171">
        <f>Q270-R270</f>
        <v>1000000</v>
      </c>
      <c r="T270" s="172">
        <v>1</v>
      </c>
    </row>
    <row r="271" spans="1:24" ht="14.45" customHeight="1">
      <c r="A271" s="224"/>
      <c r="B271" s="225"/>
      <c r="C271" s="222"/>
      <c r="D271" s="222"/>
      <c r="E271" s="1037"/>
      <c r="F271" s="240" t="s">
        <v>1861</v>
      </c>
      <c r="G271" s="249"/>
      <c r="H271" s="240"/>
      <c r="I271" s="240"/>
      <c r="J271" s="240"/>
      <c r="K271" s="240"/>
      <c r="L271" s="240"/>
      <c r="M271" s="240"/>
      <c r="N271" s="244"/>
      <c r="O271" s="251"/>
      <c r="P271" s="251">
        <f>P272</f>
        <v>100000</v>
      </c>
      <c r="Q271" s="428"/>
      <c r="R271" s="428"/>
      <c r="S271" s="428"/>
      <c r="T271" s="429"/>
    </row>
    <row r="272" spans="1:24" ht="14.45" customHeight="1">
      <c r="A272" s="224"/>
      <c r="B272" s="225"/>
      <c r="C272" s="222"/>
      <c r="D272" s="222"/>
      <c r="E272" s="223"/>
      <c r="F272" s="998" t="s">
        <v>1862</v>
      </c>
      <c r="G272" s="252">
        <v>100000</v>
      </c>
      <c r="H272" s="240" t="s">
        <v>1683</v>
      </c>
      <c r="I272" s="999">
        <v>1</v>
      </c>
      <c r="J272" s="240"/>
      <c r="K272" s="242"/>
      <c r="L272" s="240"/>
      <c r="M272" s="240"/>
      <c r="N272" s="244"/>
      <c r="O272" s="244" t="s">
        <v>1667</v>
      </c>
      <c r="P272" s="245">
        <f>G272*I272</f>
        <v>100000</v>
      </c>
      <c r="Q272" s="1535"/>
      <c r="R272" s="1535"/>
      <c r="S272" s="1535"/>
      <c r="T272" s="1536"/>
      <c r="X272" s="275"/>
    </row>
    <row r="273" spans="1:20" ht="14.45" customHeight="1">
      <c r="A273" s="224"/>
      <c r="B273" s="225"/>
      <c r="C273" s="222"/>
      <c r="D273" s="222"/>
      <c r="E273" s="1126"/>
      <c r="F273" s="240" t="s">
        <v>1863</v>
      </c>
      <c r="G273" s="252"/>
      <c r="H273" s="240"/>
      <c r="I273" s="999"/>
      <c r="J273" s="240"/>
      <c r="K273" s="242"/>
      <c r="L273" s="240"/>
      <c r="M273" s="240"/>
      <c r="N273" s="244"/>
      <c r="O273" s="244"/>
      <c r="P273" s="251">
        <f>P274</f>
        <v>900000</v>
      </c>
      <c r="Q273" s="1535"/>
      <c r="R273" s="1535"/>
      <c r="S273" s="1535"/>
      <c r="T273" s="1536"/>
    </row>
    <row r="274" spans="1:20" ht="14.45" customHeight="1">
      <c r="A274" s="224"/>
      <c r="B274" s="225"/>
      <c r="C274" s="1342"/>
      <c r="D274" s="1342"/>
      <c r="E274" s="206"/>
      <c r="F274" s="1023" t="s">
        <v>1864</v>
      </c>
      <c r="G274" s="579">
        <v>900000</v>
      </c>
      <c r="H274" s="283" t="s">
        <v>1683</v>
      </c>
      <c r="I274" s="1563">
        <v>1</v>
      </c>
      <c r="J274" s="283"/>
      <c r="K274" s="284"/>
      <c r="L274" s="283"/>
      <c r="M274" s="283"/>
      <c r="N274" s="285"/>
      <c r="O274" s="1564" t="s">
        <v>110</v>
      </c>
      <c r="P274" s="286">
        <f>G274*I274</f>
        <v>900000</v>
      </c>
      <c r="Q274" s="211"/>
      <c r="R274" s="211"/>
      <c r="S274" s="211"/>
      <c r="T274" s="212"/>
    </row>
    <row r="275" spans="1:20" ht="14.45" customHeight="1">
      <c r="A275" s="224"/>
      <c r="B275" s="225"/>
      <c r="C275" s="266" t="s">
        <v>1865</v>
      </c>
      <c r="D275" s="1537"/>
      <c r="E275" s="1538"/>
      <c r="F275" s="1539"/>
      <c r="G275" s="1059"/>
      <c r="H275" s="1058"/>
      <c r="I275" s="1540"/>
      <c r="J275" s="1058"/>
      <c r="K275" s="1541"/>
      <c r="L275" s="1542"/>
      <c r="M275" s="1541"/>
      <c r="N275" s="1060"/>
      <c r="O275" s="1060"/>
      <c r="P275" s="1543"/>
      <c r="Q275" s="220">
        <f>Q276</f>
        <v>0</v>
      </c>
      <c r="R275" s="220">
        <f>R276</f>
        <v>1000000</v>
      </c>
      <c r="S275" s="220">
        <f>Q275-R275</f>
        <v>-1000000</v>
      </c>
      <c r="T275" s="306">
        <f>S275/R275</f>
        <v>-1</v>
      </c>
    </row>
    <row r="276" spans="1:20" ht="14.45" customHeight="1">
      <c r="A276" s="224"/>
      <c r="B276" s="225"/>
      <c r="C276" s="1029"/>
      <c r="D276" s="554" t="s">
        <v>1866</v>
      </c>
      <c r="E276" s="84"/>
      <c r="F276" s="555"/>
      <c r="G276" s="556"/>
      <c r="H276" s="557"/>
      <c r="I276" s="557"/>
      <c r="J276" s="557"/>
      <c r="K276" s="557"/>
      <c r="L276" s="558"/>
      <c r="M276" s="557"/>
      <c r="N276" s="559"/>
      <c r="O276" s="559"/>
      <c r="P276" s="557"/>
      <c r="Q276" s="560">
        <f>Q277</f>
        <v>0</v>
      </c>
      <c r="R276" s="560">
        <f>R277</f>
        <v>1000000</v>
      </c>
      <c r="S276" s="76">
        <f>Q276-R276</f>
        <v>-1000000</v>
      </c>
      <c r="T276" s="1578">
        <f>S276/R276</f>
        <v>-1</v>
      </c>
    </row>
    <row r="277" spans="1:20" ht="14.45" customHeight="1" thickBot="1">
      <c r="A277" s="425"/>
      <c r="B277" s="426"/>
      <c r="C277" s="1006"/>
      <c r="D277" s="1430"/>
      <c r="E277" s="1431" t="s">
        <v>1867</v>
      </c>
      <c r="F277" s="1432"/>
      <c r="G277" s="1433"/>
      <c r="H277" s="1434"/>
      <c r="I277" s="1434"/>
      <c r="J277" s="1434"/>
      <c r="K277" s="1434"/>
      <c r="L277" s="1435"/>
      <c r="M277" s="1434"/>
      <c r="N277" s="1436"/>
      <c r="O277" s="1436"/>
      <c r="P277" s="1434"/>
      <c r="Q277" s="411">
        <v>0</v>
      </c>
      <c r="R277" s="411">
        <v>1000000</v>
      </c>
      <c r="S277" s="412">
        <f>Q277-R277</f>
        <v>-1000000</v>
      </c>
      <c r="T277" s="413">
        <f t="shared" ref="T277" si="32">S277/R277</f>
        <v>-1</v>
      </c>
    </row>
    <row r="278" spans="1:20" ht="14.45" customHeight="1"/>
  </sheetData>
  <mergeCells count="15">
    <mergeCell ref="A1:T1"/>
    <mergeCell ref="S2:T2"/>
    <mergeCell ref="A3:E3"/>
    <mergeCell ref="G3:P4"/>
    <mergeCell ref="Q3:Q4"/>
    <mergeCell ref="R3:R4"/>
    <mergeCell ref="S3:S4"/>
    <mergeCell ref="T3:T4"/>
    <mergeCell ref="K60:L60"/>
    <mergeCell ref="I39:J39"/>
    <mergeCell ref="I43:J43"/>
    <mergeCell ref="I44:J44"/>
    <mergeCell ref="I45:J45"/>
    <mergeCell ref="I46:J46"/>
    <mergeCell ref="I47:J47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scale="75" firstPageNumber="67" fitToHeight="0" orientation="landscape" useFirstPageNumber="1" horizontalDpi="4294967293" r:id="rId1"/>
  <headerFooter scaleWithDoc="0" alignWithMargins="0">
    <oddFooter>&amp;C&amp;P</oddFooter>
  </headerFooter>
  <rowBreaks count="5" manualBreakCount="5">
    <brk id="39" max="19" man="1"/>
    <brk id="79" max="19" man="1"/>
    <brk id="177" max="19" man="1"/>
    <brk id="215" max="19" man="1"/>
    <brk id="267" max="19" man="1"/>
  </rowBreaks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3399FF"/>
    <pageSetUpPr fitToPage="1"/>
  </sheetPr>
  <dimension ref="A1:X116"/>
  <sheetViews>
    <sheetView view="pageBreakPreview" zoomScale="85" zoomScaleNormal="85" zoomScaleSheetLayoutView="85" workbookViewId="0">
      <pane ySplit="8" topLeftCell="A9" activePane="bottomLeft" state="frozen"/>
      <selection activeCell="V20" sqref="V20"/>
      <selection pane="bottomLeft" activeCell="V20" sqref="V20"/>
    </sheetView>
  </sheetViews>
  <sheetFormatPr defaultColWidth="9" defaultRowHeight="13.5"/>
  <cols>
    <col min="1" max="1" width="3.625" style="917" customWidth="1"/>
    <col min="2" max="4" width="3.625" style="916" customWidth="1"/>
    <col min="5" max="5" width="10.625" style="916" customWidth="1"/>
    <col min="6" max="6" width="31.375" style="1371" customWidth="1"/>
    <col min="7" max="7" width="12.5" style="918" bestFit="1" customWidth="1"/>
    <col min="8" max="8" width="2.125" style="917" customWidth="1"/>
    <col min="9" max="9" width="7" style="917" customWidth="1"/>
    <col min="10" max="10" width="3.25" style="917" customWidth="1"/>
    <col min="11" max="11" width="5.875" style="917" customWidth="1"/>
    <col min="12" max="12" width="2.625" style="1437" customWidth="1"/>
    <col min="13" max="13" width="5.375" style="917" customWidth="1"/>
    <col min="14" max="14" width="2.75" style="919" customWidth="1"/>
    <col min="15" max="15" width="2.625" style="919" customWidth="1"/>
    <col min="16" max="16" width="13.625" style="917" customWidth="1"/>
    <col min="17" max="17" width="10.625" style="920" customWidth="1"/>
    <col min="18" max="19" width="10.625" style="921" customWidth="1"/>
    <col min="20" max="20" width="10.625" style="988" customWidth="1"/>
    <col min="21" max="22" width="9" style="917"/>
    <col min="23" max="24" width="10.875" style="917" bestFit="1" customWidth="1"/>
    <col min="25" max="16384" width="9" style="917"/>
  </cols>
  <sheetData>
    <row r="1" spans="1:24" s="915" customFormat="1" ht="35.1" customHeight="1">
      <c r="A1" s="1968" t="s">
        <v>1690</v>
      </c>
      <c r="B1" s="1968"/>
      <c r="C1" s="1968"/>
      <c r="D1" s="1968"/>
      <c r="E1" s="1968"/>
      <c r="F1" s="1968"/>
      <c r="G1" s="1968"/>
      <c r="H1" s="1968"/>
      <c r="I1" s="1968"/>
      <c r="J1" s="1968"/>
      <c r="K1" s="1968"/>
      <c r="L1" s="1968"/>
      <c r="M1" s="1968"/>
      <c r="N1" s="1968"/>
      <c r="O1" s="1968"/>
      <c r="P1" s="1968"/>
      <c r="Q1" s="1968"/>
      <c r="R1" s="1968"/>
      <c r="S1" s="1968"/>
      <c r="T1" s="1968"/>
    </row>
    <row r="2" spans="1:24" ht="15" customHeight="1" thickBot="1">
      <c r="A2" s="915" t="s">
        <v>974</v>
      </c>
      <c r="S2" s="1953" t="s">
        <v>975</v>
      </c>
      <c r="T2" s="1953"/>
    </row>
    <row r="3" spans="1:24" s="922" customFormat="1" ht="15" customHeight="1">
      <c r="A3" s="1990" t="s">
        <v>91</v>
      </c>
      <c r="B3" s="1939"/>
      <c r="C3" s="1939"/>
      <c r="D3" s="1939"/>
      <c r="E3" s="1939"/>
      <c r="F3" s="1753"/>
      <c r="G3" s="1940" t="s">
        <v>92</v>
      </c>
      <c r="H3" s="1940"/>
      <c r="I3" s="1940"/>
      <c r="J3" s="1940"/>
      <c r="K3" s="1940"/>
      <c r="L3" s="1940"/>
      <c r="M3" s="1940"/>
      <c r="N3" s="1940"/>
      <c r="O3" s="1940"/>
      <c r="P3" s="1941"/>
      <c r="Q3" s="1944" t="s">
        <v>93</v>
      </c>
      <c r="R3" s="1946" t="s">
        <v>94</v>
      </c>
      <c r="S3" s="1948" t="s">
        <v>95</v>
      </c>
      <c r="T3" s="1950" t="s">
        <v>96</v>
      </c>
    </row>
    <row r="4" spans="1:24" s="922" customFormat="1" ht="15" customHeight="1" thickBot="1">
      <c r="A4" s="1742" t="s">
        <v>97</v>
      </c>
      <c r="B4" s="1743" t="s">
        <v>98</v>
      </c>
      <c r="C4" s="1743" t="s">
        <v>99</v>
      </c>
      <c r="D4" s="1743" t="s">
        <v>100</v>
      </c>
      <c r="E4" s="1743" t="s">
        <v>101</v>
      </c>
      <c r="F4" s="1754" t="s">
        <v>102</v>
      </c>
      <c r="G4" s="1942"/>
      <c r="H4" s="1942"/>
      <c r="I4" s="1942"/>
      <c r="J4" s="1942"/>
      <c r="K4" s="1942"/>
      <c r="L4" s="1942"/>
      <c r="M4" s="1942"/>
      <c r="N4" s="1942"/>
      <c r="O4" s="1942"/>
      <c r="P4" s="1943"/>
      <c r="Q4" s="1945"/>
      <c r="R4" s="1947"/>
      <c r="S4" s="1949"/>
      <c r="T4" s="1951"/>
    </row>
    <row r="5" spans="1:24" s="926" customFormat="1" ht="15" customHeight="1" thickBot="1">
      <c r="A5" s="68" t="s">
        <v>976</v>
      </c>
      <c r="B5" s="69"/>
      <c r="C5" s="69"/>
      <c r="D5" s="69"/>
      <c r="E5" s="69"/>
      <c r="F5" s="70"/>
      <c r="G5" s="71"/>
      <c r="H5" s="72"/>
      <c r="I5" s="72"/>
      <c r="J5" s="72"/>
      <c r="K5" s="72"/>
      <c r="L5" s="73"/>
      <c r="M5" s="72"/>
      <c r="N5" s="74"/>
      <c r="O5" s="74"/>
      <c r="P5" s="72"/>
      <c r="Q5" s="75">
        <f>Q6</f>
        <v>66689000</v>
      </c>
      <c r="R5" s="75">
        <f>R6</f>
        <v>50660000</v>
      </c>
      <c r="S5" s="76">
        <f>Q5-R5</f>
        <v>16029000</v>
      </c>
      <c r="T5" s="77">
        <f t="shared" ref="T5:T8" si="0">S5/R5</f>
        <v>0.31640347414133441</v>
      </c>
      <c r="V5" s="926">
        <v>66689000</v>
      </c>
      <c r="X5" s="1818">
        <f>Q5-V5</f>
        <v>0</v>
      </c>
    </row>
    <row r="6" spans="1:24" s="915" customFormat="1" ht="15" customHeight="1">
      <c r="A6" s="78"/>
      <c r="B6" s="181" t="s">
        <v>977</v>
      </c>
      <c r="C6" s="184"/>
      <c r="D6" s="184"/>
      <c r="E6" s="184"/>
      <c r="F6" s="182"/>
      <c r="G6" s="183"/>
      <c r="H6" s="184"/>
      <c r="I6" s="184"/>
      <c r="J6" s="184"/>
      <c r="K6" s="184"/>
      <c r="L6" s="185"/>
      <c r="M6" s="184"/>
      <c r="N6" s="186"/>
      <c r="O6" s="186"/>
      <c r="P6" s="184"/>
      <c r="Q6" s="187">
        <f>SUM(Q7,Q75,Q99,Q106,Q113)</f>
        <v>66689000</v>
      </c>
      <c r="R6" s="187">
        <f>SUM(R7,R75,R99,R106,R113)</f>
        <v>50660000</v>
      </c>
      <c r="S6" s="187">
        <f>Q6-R6</f>
        <v>16029000</v>
      </c>
      <c r="T6" s="424">
        <f t="shared" si="0"/>
        <v>0.31640347414133441</v>
      </c>
    </row>
    <row r="7" spans="1:24" s="915" customFormat="1" ht="15" customHeight="1">
      <c r="A7" s="78"/>
      <c r="B7" s="79"/>
      <c r="C7" s="174" t="s">
        <v>978</v>
      </c>
      <c r="D7" s="174"/>
      <c r="E7" s="174"/>
      <c r="F7" s="175"/>
      <c r="G7" s="176"/>
      <c r="H7" s="174"/>
      <c r="I7" s="174"/>
      <c r="J7" s="174"/>
      <c r="K7" s="174"/>
      <c r="L7" s="177"/>
      <c r="M7" s="174"/>
      <c r="N7" s="67"/>
      <c r="O7" s="67"/>
      <c r="P7" s="174"/>
      <c r="Q7" s="178">
        <f>Q8+Q36</f>
        <v>61159000</v>
      </c>
      <c r="R7" s="178">
        <f>SUM(R8,R36)</f>
        <v>45650000</v>
      </c>
      <c r="S7" s="178">
        <f>Q7-R7</f>
        <v>15509000</v>
      </c>
      <c r="T7" s="179">
        <f t="shared" si="0"/>
        <v>0.33973713033954001</v>
      </c>
    </row>
    <row r="8" spans="1:24" s="926" customFormat="1" ht="15" customHeight="1">
      <c r="A8" s="80"/>
      <c r="B8" s="81"/>
      <c r="C8" s="82"/>
      <c r="D8" s="83" t="s">
        <v>979</v>
      </c>
      <c r="E8" s="84"/>
      <c r="F8" s="85"/>
      <c r="G8" s="86"/>
      <c r="H8" s="84"/>
      <c r="I8" s="84"/>
      <c r="J8" s="84"/>
      <c r="K8" s="84"/>
      <c r="L8" s="83"/>
      <c r="M8" s="84"/>
      <c r="N8" s="87"/>
      <c r="O8" s="87"/>
      <c r="P8" s="84"/>
      <c r="Q8" s="76">
        <f>SUM(Q9:Q35)</f>
        <v>46863000</v>
      </c>
      <c r="R8" s="76">
        <f>R9+R12+R30+R33</f>
        <v>32193000</v>
      </c>
      <c r="S8" s="76">
        <f>Q8-R8</f>
        <v>14670000</v>
      </c>
      <c r="T8" s="77">
        <f t="shared" si="0"/>
        <v>0.45568912496505454</v>
      </c>
    </row>
    <row r="9" spans="1:24" ht="15" customHeight="1">
      <c r="A9" s="88"/>
      <c r="B9" s="89"/>
      <c r="C9" s="90"/>
      <c r="D9" s="89"/>
      <c r="E9" s="510" t="s">
        <v>980</v>
      </c>
      <c r="F9" s="515"/>
      <c r="G9" s="511"/>
      <c r="H9" s="510"/>
      <c r="I9" s="510"/>
      <c r="J9" s="510"/>
      <c r="K9" s="510"/>
      <c r="L9" s="512"/>
      <c r="M9" s="510"/>
      <c r="N9" s="513"/>
      <c r="O9" s="513"/>
      <c r="P9" s="510"/>
      <c r="Q9" s="171">
        <f>SUM(P10)</f>
        <v>20798000</v>
      </c>
      <c r="R9" s="171">
        <v>16800000</v>
      </c>
      <c r="S9" s="171">
        <f>Q9-R9</f>
        <v>3998000</v>
      </c>
      <c r="T9" s="172">
        <f>S9/R9</f>
        <v>0.23797619047619048</v>
      </c>
    </row>
    <row r="10" spans="1:24" ht="15" customHeight="1">
      <c r="A10" s="88"/>
      <c r="B10" s="89"/>
      <c r="C10" s="90"/>
      <c r="D10" s="89"/>
      <c r="E10" s="90"/>
      <c r="F10" s="96" t="s">
        <v>981</v>
      </c>
      <c r="G10" s="97"/>
      <c r="H10" s="90"/>
      <c r="I10" s="90"/>
      <c r="J10" s="90"/>
      <c r="K10" s="90"/>
      <c r="L10" s="98"/>
      <c r="M10" s="90"/>
      <c r="N10" s="99"/>
      <c r="O10" s="99"/>
      <c r="P10" s="100">
        <f>SUM(P11:P11)</f>
        <v>20798000</v>
      </c>
      <c r="Q10" s="101"/>
      <c r="R10" s="101"/>
      <c r="S10" s="101"/>
      <c r="T10" s="102"/>
      <c r="W10" s="945"/>
      <c r="X10" s="945"/>
    </row>
    <row r="11" spans="1:24" ht="15" customHeight="1">
      <c r="A11" s="88"/>
      <c r="B11" s="89"/>
      <c r="C11" s="90"/>
      <c r="D11" s="89"/>
      <c r="E11" s="103"/>
      <c r="F11" s="104" t="s">
        <v>378</v>
      </c>
      <c r="G11" s="105">
        <v>1733100</v>
      </c>
      <c r="H11" s="106" t="s">
        <v>282</v>
      </c>
      <c r="I11" s="107">
        <v>1</v>
      </c>
      <c r="J11" s="106" t="s">
        <v>109</v>
      </c>
      <c r="K11" s="108">
        <v>12</v>
      </c>
      <c r="L11" s="109"/>
      <c r="M11" s="108"/>
      <c r="N11" s="110"/>
      <c r="O11" s="110" t="s">
        <v>982</v>
      </c>
      <c r="P11" s="111">
        <f>ROUNDUP(G11*I11*K11,-3)</f>
        <v>20798000</v>
      </c>
      <c r="Q11" s="112"/>
      <c r="R11" s="112"/>
      <c r="S11" s="112"/>
      <c r="T11" s="113"/>
      <c r="W11" s="945"/>
      <c r="X11" s="945"/>
    </row>
    <row r="12" spans="1:24" ht="15" customHeight="1">
      <c r="A12" s="88"/>
      <c r="B12" s="89"/>
      <c r="C12" s="90"/>
      <c r="D12" s="89"/>
      <c r="E12" s="510" t="s">
        <v>983</v>
      </c>
      <c r="F12" s="515"/>
      <c r="G12" s="511"/>
      <c r="H12" s="510"/>
      <c r="I12" s="510"/>
      <c r="J12" s="510"/>
      <c r="K12" s="510"/>
      <c r="L12" s="512"/>
      <c r="M12" s="510"/>
      <c r="N12" s="513"/>
      <c r="O12" s="513"/>
      <c r="P12" s="510"/>
      <c r="Q12" s="171">
        <f>P13+P15+P18+P20+P22+P24+P26+P28</f>
        <v>11564000</v>
      </c>
      <c r="R12" s="171">
        <v>6400000</v>
      </c>
      <c r="S12" s="171">
        <f>Q12-R12</f>
        <v>5164000</v>
      </c>
      <c r="T12" s="172">
        <f t="shared" ref="T12:T55" si="1">S12/R12</f>
        <v>0.80687500000000001</v>
      </c>
      <c r="V12" s="945"/>
      <c r="W12" s="945"/>
      <c r="X12" s="945"/>
    </row>
    <row r="13" spans="1:24" ht="15" customHeight="1">
      <c r="A13" s="88"/>
      <c r="B13" s="89"/>
      <c r="C13" s="90"/>
      <c r="D13" s="89"/>
      <c r="E13" s="90"/>
      <c r="F13" s="96" t="s">
        <v>984</v>
      </c>
      <c r="G13" s="114"/>
      <c r="H13" s="115"/>
      <c r="I13" s="115"/>
      <c r="J13" s="115"/>
      <c r="K13" s="115"/>
      <c r="L13" s="116"/>
      <c r="M13" s="115"/>
      <c r="N13" s="117"/>
      <c r="O13" s="117"/>
      <c r="P13" s="118">
        <f>SUM(P14:P14)</f>
        <v>1500000</v>
      </c>
      <c r="Q13" s="119"/>
      <c r="R13" s="119"/>
      <c r="S13" s="119"/>
      <c r="T13" s="120"/>
      <c r="W13" s="945"/>
      <c r="X13" s="945"/>
    </row>
    <row r="14" spans="1:24" ht="15" customHeight="1">
      <c r="A14" s="88"/>
      <c r="B14" s="89"/>
      <c r="C14" s="90"/>
      <c r="D14" s="89"/>
      <c r="E14" s="103"/>
      <c r="F14" s="104" t="s">
        <v>985</v>
      </c>
      <c r="G14" s="121">
        <v>125000</v>
      </c>
      <c r="H14" s="106" t="s">
        <v>986</v>
      </c>
      <c r="I14" s="107">
        <v>1</v>
      </c>
      <c r="J14" s="106" t="s">
        <v>109</v>
      </c>
      <c r="K14" s="108">
        <v>12</v>
      </c>
      <c r="L14" s="109"/>
      <c r="M14" s="108"/>
      <c r="N14" s="110"/>
      <c r="O14" s="110" t="s">
        <v>982</v>
      </c>
      <c r="P14" s="111">
        <f>ROUNDUP(G14*I14*K14,-3)</f>
        <v>1500000</v>
      </c>
      <c r="Q14" s="112"/>
      <c r="R14" s="112"/>
      <c r="S14" s="112"/>
      <c r="T14" s="113"/>
    </row>
    <row r="15" spans="1:24" ht="15" hidden="1" customHeight="1">
      <c r="A15" s="88"/>
      <c r="B15" s="89"/>
      <c r="C15" s="90"/>
      <c r="D15" s="89"/>
      <c r="E15" s="122"/>
      <c r="F15" s="96" t="s">
        <v>987</v>
      </c>
      <c r="G15" s="123"/>
      <c r="H15" s="106"/>
      <c r="I15" s="106"/>
      <c r="J15" s="106"/>
      <c r="K15" s="106"/>
      <c r="L15" s="124"/>
      <c r="M15" s="106"/>
      <c r="N15" s="110"/>
      <c r="O15" s="110"/>
      <c r="P15" s="125">
        <f>SUM(P16:P17)</f>
        <v>0</v>
      </c>
      <c r="Q15" s="112"/>
      <c r="R15" s="112"/>
      <c r="S15" s="112"/>
      <c r="T15" s="113"/>
      <c r="W15" s="944"/>
    </row>
    <row r="16" spans="1:24" ht="15" hidden="1" customHeight="1">
      <c r="A16" s="88"/>
      <c r="B16" s="89"/>
      <c r="C16" s="90"/>
      <c r="D16" s="89"/>
      <c r="E16" s="103"/>
      <c r="F16" s="104" t="s">
        <v>507</v>
      </c>
      <c r="G16" s="121"/>
      <c r="H16" s="106" t="s">
        <v>986</v>
      </c>
      <c r="I16" s="107">
        <v>1</v>
      </c>
      <c r="J16" s="106" t="s">
        <v>109</v>
      </c>
      <c r="K16" s="108">
        <v>12</v>
      </c>
      <c r="L16" s="109"/>
      <c r="M16" s="108"/>
      <c r="N16" s="110"/>
      <c r="O16" s="110" t="s">
        <v>283</v>
      </c>
      <c r="P16" s="111">
        <f>ROUNDUP(G16*I16*K16,-3)</f>
        <v>0</v>
      </c>
      <c r="Q16" s="112"/>
      <c r="R16" s="112"/>
      <c r="S16" s="112"/>
      <c r="T16" s="113"/>
    </row>
    <row r="17" spans="1:24" ht="15" hidden="1" customHeight="1">
      <c r="A17" s="88"/>
      <c r="B17" s="89"/>
      <c r="C17" s="90"/>
      <c r="D17" s="89"/>
      <c r="E17" s="103"/>
      <c r="F17" s="104" t="s">
        <v>988</v>
      </c>
      <c r="G17" s="121"/>
      <c r="H17" s="106" t="s">
        <v>986</v>
      </c>
      <c r="I17" s="107">
        <v>1</v>
      </c>
      <c r="J17" s="106" t="s">
        <v>109</v>
      </c>
      <c r="K17" s="108">
        <v>12</v>
      </c>
      <c r="L17" s="109"/>
      <c r="M17" s="108"/>
      <c r="N17" s="110"/>
      <c r="O17" s="110" t="s">
        <v>982</v>
      </c>
      <c r="P17" s="111">
        <f>ROUNDUP(G17*I17*K17,-3)</f>
        <v>0</v>
      </c>
      <c r="Q17" s="112"/>
      <c r="R17" s="112"/>
      <c r="S17" s="112"/>
      <c r="T17" s="113"/>
      <c r="X17" s="944"/>
    </row>
    <row r="18" spans="1:24" ht="15" customHeight="1">
      <c r="A18" s="88"/>
      <c r="B18" s="89"/>
      <c r="C18" s="90"/>
      <c r="D18" s="89"/>
      <c r="E18" s="122"/>
      <c r="F18" s="96" t="s">
        <v>367</v>
      </c>
      <c r="G18" s="123"/>
      <c r="H18" s="106"/>
      <c r="I18" s="106"/>
      <c r="J18" s="106"/>
      <c r="K18" s="106"/>
      <c r="L18" s="124"/>
      <c r="M18" s="106"/>
      <c r="N18" s="110"/>
      <c r="O18" s="110"/>
      <c r="P18" s="125">
        <f>SUM(P19:P19)</f>
        <v>1560000</v>
      </c>
      <c r="Q18" s="112"/>
      <c r="R18" s="112"/>
      <c r="S18" s="112"/>
      <c r="T18" s="113"/>
    </row>
    <row r="19" spans="1:24" ht="15" customHeight="1">
      <c r="A19" s="88"/>
      <c r="B19" s="89"/>
      <c r="C19" s="90"/>
      <c r="D19" s="89"/>
      <c r="E19" s="103"/>
      <c r="F19" s="126" t="s">
        <v>368</v>
      </c>
      <c r="G19" s="121">
        <v>130000</v>
      </c>
      <c r="H19" s="106" t="s">
        <v>986</v>
      </c>
      <c r="I19" s="107">
        <v>1</v>
      </c>
      <c r="J19" s="106" t="s">
        <v>109</v>
      </c>
      <c r="K19" s="108">
        <v>12</v>
      </c>
      <c r="L19" s="109"/>
      <c r="M19" s="108"/>
      <c r="N19" s="110"/>
      <c r="O19" s="110" t="s">
        <v>982</v>
      </c>
      <c r="P19" s="111">
        <f>ROUNDUP(G19*I19*K19,-3)</f>
        <v>1560000</v>
      </c>
      <c r="Q19" s="112"/>
      <c r="R19" s="112"/>
      <c r="S19" s="112"/>
      <c r="T19" s="113"/>
      <c r="X19" s="945"/>
    </row>
    <row r="20" spans="1:24" ht="15" customHeight="1">
      <c r="A20" s="88"/>
      <c r="B20" s="89"/>
      <c r="C20" s="90"/>
      <c r="D20" s="89"/>
      <c r="E20" s="122"/>
      <c r="F20" s="96" t="s">
        <v>989</v>
      </c>
      <c r="G20" s="123"/>
      <c r="H20" s="106"/>
      <c r="I20" s="106"/>
      <c r="J20" s="106"/>
      <c r="K20" s="106"/>
      <c r="L20" s="124"/>
      <c r="M20" s="106"/>
      <c r="N20" s="110"/>
      <c r="O20" s="110"/>
      <c r="P20" s="125">
        <f>SUM(P21:P21)</f>
        <v>360000</v>
      </c>
      <c r="Q20" s="112"/>
      <c r="R20" s="112"/>
      <c r="S20" s="112"/>
      <c r="T20" s="113"/>
    </row>
    <row r="21" spans="1:24" ht="15" customHeight="1">
      <c r="A21" s="88"/>
      <c r="B21" s="89"/>
      <c r="C21" s="90"/>
      <c r="D21" s="89"/>
      <c r="E21" s="103"/>
      <c r="F21" s="126" t="s">
        <v>990</v>
      </c>
      <c r="G21" s="121">
        <v>30000</v>
      </c>
      <c r="H21" s="106" t="s">
        <v>986</v>
      </c>
      <c r="I21" s="107">
        <v>1</v>
      </c>
      <c r="J21" s="106" t="s">
        <v>109</v>
      </c>
      <c r="K21" s="108">
        <v>12</v>
      </c>
      <c r="L21" s="109"/>
      <c r="M21" s="108"/>
      <c r="N21" s="110"/>
      <c r="O21" s="110" t="s">
        <v>982</v>
      </c>
      <c r="P21" s="111">
        <f>ROUNDUP(G21*I21*K21,-3)</f>
        <v>360000</v>
      </c>
      <c r="Q21" s="112"/>
      <c r="R21" s="112"/>
      <c r="S21" s="112"/>
      <c r="T21" s="113"/>
    </row>
    <row r="22" spans="1:24" ht="15" customHeight="1">
      <c r="A22" s="88"/>
      <c r="B22" s="89"/>
      <c r="C22" s="90"/>
      <c r="D22" s="89"/>
      <c r="E22" s="90"/>
      <c r="F22" s="96" t="s">
        <v>646</v>
      </c>
      <c r="G22" s="123"/>
      <c r="H22" s="106"/>
      <c r="I22" s="106"/>
      <c r="J22" s="106"/>
      <c r="K22" s="106"/>
      <c r="L22" s="124"/>
      <c r="M22" s="106"/>
      <c r="N22" s="110"/>
      <c r="O22" s="110"/>
      <c r="P22" s="125">
        <f>SUM(P23:P23)</f>
        <v>5364000</v>
      </c>
      <c r="Q22" s="112"/>
      <c r="R22" s="112"/>
      <c r="S22" s="112"/>
      <c r="T22" s="113"/>
    </row>
    <row r="23" spans="1:24" ht="15" customHeight="1">
      <c r="A23" s="88"/>
      <c r="B23" s="89"/>
      <c r="C23" s="90"/>
      <c r="D23" s="89"/>
      <c r="E23" s="122"/>
      <c r="F23" s="126" t="s">
        <v>991</v>
      </c>
      <c r="G23" s="121">
        <v>447000</v>
      </c>
      <c r="H23" s="106" t="s">
        <v>277</v>
      </c>
      <c r="I23" s="107">
        <v>1</v>
      </c>
      <c r="J23" s="106" t="s">
        <v>109</v>
      </c>
      <c r="K23" s="108">
        <v>12</v>
      </c>
      <c r="L23" s="124"/>
      <c r="M23" s="127"/>
      <c r="N23" s="110"/>
      <c r="O23" s="110" t="s">
        <v>283</v>
      </c>
      <c r="P23" s="111">
        <f>ROUNDUP(G23*I23*K23,-3)</f>
        <v>5364000</v>
      </c>
      <c r="Q23" s="112"/>
      <c r="R23" s="112"/>
      <c r="S23" s="112"/>
      <c r="T23" s="113"/>
    </row>
    <row r="24" spans="1:24" ht="15" customHeight="1">
      <c r="A24" s="88"/>
      <c r="B24" s="89"/>
      <c r="C24" s="90"/>
      <c r="D24" s="89"/>
      <c r="E24" s="122"/>
      <c r="F24" s="96" t="s">
        <v>371</v>
      </c>
      <c r="G24" s="128"/>
      <c r="H24" s="106"/>
      <c r="I24" s="106"/>
      <c r="J24" s="106"/>
      <c r="K24" s="106"/>
      <c r="L24" s="124"/>
      <c r="M24" s="106"/>
      <c r="N24" s="110"/>
      <c r="O24" s="110"/>
      <c r="P24" s="125">
        <f>SUM(P25:P25)</f>
        <v>700000</v>
      </c>
      <c r="Q24" s="112"/>
      <c r="R24" s="112"/>
      <c r="S24" s="112"/>
      <c r="T24" s="113"/>
    </row>
    <row r="25" spans="1:24" ht="15" customHeight="1">
      <c r="A25" s="88"/>
      <c r="B25" s="89"/>
      <c r="C25" s="90"/>
      <c r="D25" s="89"/>
      <c r="E25" s="103"/>
      <c r="F25" s="104" t="s">
        <v>985</v>
      </c>
      <c r="G25" s="121">
        <v>350000</v>
      </c>
      <c r="H25" s="106" t="s">
        <v>277</v>
      </c>
      <c r="I25" s="107">
        <v>1</v>
      </c>
      <c r="J25" s="106" t="s">
        <v>109</v>
      </c>
      <c r="K25" s="108">
        <v>2</v>
      </c>
      <c r="L25" s="109"/>
      <c r="M25" s="108"/>
      <c r="N25" s="110"/>
      <c r="O25" s="110" t="s">
        <v>283</v>
      </c>
      <c r="P25" s="111">
        <f>ROUNDUP(G25*I25*K25,-3)</f>
        <v>700000</v>
      </c>
      <c r="Q25" s="112"/>
      <c r="R25" s="112"/>
      <c r="S25" s="112"/>
      <c r="T25" s="113"/>
    </row>
    <row r="26" spans="1:24" ht="15" customHeight="1">
      <c r="A26" s="88"/>
      <c r="B26" s="89"/>
      <c r="C26" s="90"/>
      <c r="D26" s="89"/>
      <c r="E26" s="122"/>
      <c r="F26" s="96" t="s">
        <v>511</v>
      </c>
      <c r="G26" s="123"/>
      <c r="H26" s="106"/>
      <c r="I26" s="106"/>
      <c r="J26" s="106"/>
      <c r="K26" s="106"/>
      <c r="L26" s="124"/>
      <c r="M26" s="106"/>
      <c r="N26" s="110"/>
      <c r="O26" s="110"/>
      <c r="P26" s="125">
        <f>SUM(P27:P27)</f>
        <v>2080000</v>
      </c>
      <c r="Q26" s="112"/>
      <c r="R26" s="112"/>
      <c r="S26" s="112"/>
      <c r="T26" s="113"/>
    </row>
    <row r="27" spans="1:24" ht="15" customHeight="1">
      <c r="A27" s="88"/>
      <c r="B27" s="89"/>
      <c r="C27" s="90"/>
      <c r="D27" s="89"/>
      <c r="E27" s="103"/>
      <c r="F27" s="104" t="s">
        <v>985</v>
      </c>
      <c r="G27" s="121">
        <v>1040000</v>
      </c>
      <c r="H27" s="106" t="s">
        <v>986</v>
      </c>
      <c r="I27" s="107">
        <v>1</v>
      </c>
      <c r="J27" s="106" t="s">
        <v>109</v>
      </c>
      <c r="K27" s="108">
        <v>2</v>
      </c>
      <c r="L27" s="109"/>
      <c r="M27" s="108"/>
      <c r="N27" s="110"/>
      <c r="O27" s="110" t="s">
        <v>283</v>
      </c>
      <c r="P27" s="111">
        <f>ROUNDUP(G27*I27*K27,-3)</f>
        <v>2080000</v>
      </c>
      <c r="Q27" s="112"/>
      <c r="R27" s="112"/>
      <c r="S27" s="112"/>
      <c r="T27" s="113"/>
    </row>
    <row r="28" spans="1:24" ht="15" hidden="1" customHeight="1">
      <c r="A28" s="88"/>
      <c r="B28" s="89"/>
      <c r="C28" s="90"/>
      <c r="D28" s="89"/>
      <c r="E28" s="122"/>
      <c r="F28" s="96" t="s">
        <v>379</v>
      </c>
      <c r="G28" s="123"/>
      <c r="H28" s="106"/>
      <c r="I28" s="106"/>
      <c r="J28" s="106"/>
      <c r="K28" s="106"/>
      <c r="L28" s="124"/>
      <c r="M28" s="106"/>
      <c r="N28" s="110"/>
      <c r="O28" s="110"/>
      <c r="P28" s="125">
        <f>SUM(P29:P29)</f>
        <v>0</v>
      </c>
      <c r="Q28" s="112"/>
      <c r="R28" s="112"/>
      <c r="S28" s="112"/>
      <c r="T28" s="113"/>
    </row>
    <row r="29" spans="1:24" ht="15" hidden="1" customHeight="1">
      <c r="A29" s="88"/>
      <c r="B29" s="89"/>
      <c r="C29" s="90"/>
      <c r="D29" s="89"/>
      <c r="E29" s="122"/>
      <c r="F29" s="126" t="s">
        <v>860</v>
      </c>
      <c r="G29" s="121"/>
      <c r="H29" s="106" t="s">
        <v>277</v>
      </c>
      <c r="I29" s="107"/>
      <c r="J29" s="106" t="s">
        <v>109</v>
      </c>
      <c r="K29" s="129"/>
      <c r="L29" s="106" t="s">
        <v>109</v>
      </c>
      <c r="M29" s="127"/>
      <c r="N29" s="110"/>
      <c r="O29" s="110" t="s">
        <v>982</v>
      </c>
      <c r="P29" s="111">
        <f>ROUNDUP(G29*I29*K29,-3)</f>
        <v>0</v>
      </c>
      <c r="Q29" s="112"/>
      <c r="R29" s="112"/>
      <c r="S29" s="112"/>
      <c r="T29" s="113"/>
    </row>
    <row r="30" spans="1:24" ht="15" customHeight="1">
      <c r="A30" s="88"/>
      <c r="B30" s="89"/>
      <c r="C30" s="90"/>
      <c r="D30" s="89"/>
      <c r="E30" s="510" t="s">
        <v>431</v>
      </c>
      <c r="F30" s="510"/>
      <c r="G30" s="511"/>
      <c r="H30" s="510"/>
      <c r="I30" s="510"/>
      <c r="J30" s="510"/>
      <c r="K30" s="510"/>
      <c r="L30" s="512"/>
      <c r="M30" s="510"/>
      <c r="N30" s="513"/>
      <c r="O30" s="510"/>
      <c r="P30" s="513"/>
      <c r="Q30" s="171">
        <f>SUM(P31)</f>
        <v>11804000</v>
      </c>
      <c r="R30" s="171">
        <v>5493000</v>
      </c>
      <c r="S30" s="171">
        <f>Q30-R30</f>
        <v>6311000</v>
      </c>
      <c r="T30" s="172">
        <f t="shared" si="1"/>
        <v>1.148916803204078</v>
      </c>
    </row>
    <row r="31" spans="1:24" ht="15" customHeight="1">
      <c r="A31" s="88"/>
      <c r="B31" s="89"/>
      <c r="C31" s="90"/>
      <c r="D31" s="89"/>
      <c r="E31" s="106"/>
      <c r="F31" s="106" t="s">
        <v>992</v>
      </c>
      <c r="G31" s="123"/>
      <c r="H31" s="106"/>
      <c r="I31" s="106"/>
      <c r="J31" s="106"/>
      <c r="K31" s="106"/>
      <c r="L31" s="124"/>
      <c r="M31" s="106"/>
      <c r="N31" s="110"/>
      <c r="O31" s="106"/>
      <c r="P31" s="130">
        <f>SUM(P32:P32)</f>
        <v>11804000</v>
      </c>
      <c r="Q31" s="125"/>
      <c r="R31" s="112"/>
      <c r="S31" s="131"/>
      <c r="T31" s="113"/>
    </row>
    <row r="32" spans="1:24" ht="15" customHeight="1">
      <c r="A32" s="88"/>
      <c r="B32" s="89"/>
      <c r="C32" s="90"/>
      <c r="D32" s="89"/>
      <c r="E32" s="132"/>
      <c r="F32" s="132" t="s">
        <v>993</v>
      </c>
      <c r="G32" s="121">
        <v>9080</v>
      </c>
      <c r="H32" s="106" t="s">
        <v>986</v>
      </c>
      <c r="I32" s="127">
        <v>100</v>
      </c>
      <c r="J32" s="106" t="s">
        <v>109</v>
      </c>
      <c r="K32" s="108">
        <v>13</v>
      </c>
      <c r="L32" s="109"/>
      <c r="M32" s="108"/>
      <c r="N32" s="110"/>
      <c r="O32" s="110" t="s">
        <v>283</v>
      </c>
      <c r="P32" s="111">
        <f>ROUNDUP(G32*I32*K32,-3)</f>
        <v>11804000</v>
      </c>
      <c r="Q32" s="133"/>
      <c r="R32" s="112"/>
      <c r="S32" s="131"/>
      <c r="T32" s="113"/>
    </row>
    <row r="33" spans="1:23" ht="15" customHeight="1">
      <c r="A33" s="88"/>
      <c r="B33" s="89"/>
      <c r="C33" s="90"/>
      <c r="D33" s="89"/>
      <c r="E33" s="514" t="s">
        <v>514</v>
      </c>
      <c r="F33" s="515"/>
      <c r="G33" s="511"/>
      <c r="H33" s="510"/>
      <c r="I33" s="510"/>
      <c r="J33" s="510"/>
      <c r="K33" s="510"/>
      <c r="L33" s="512"/>
      <c r="M33" s="510"/>
      <c r="N33" s="513"/>
      <c r="O33" s="513"/>
      <c r="P33" s="510"/>
      <c r="Q33" s="171">
        <f>SUM(P34)</f>
        <v>2697000</v>
      </c>
      <c r="R33" s="171">
        <v>3500000</v>
      </c>
      <c r="S33" s="171">
        <f>Q33-R33</f>
        <v>-803000</v>
      </c>
      <c r="T33" s="172">
        <f t="shared" si="1"/>
        <v>-0.22942857142857143</v>
      </c>
    </row>
    <row r="34" spans="1:23" ht="15" customHeight="1">
      <c r="A34" s="88"/>
      <c r="B34" s="89"/>
      <c r="C34" s="90"/>
      <c r="D34" s="89"/>
      <c r="E34" s="90"/>
      <c r="F34" s="96" t="s">
        <v>994</v>
      </c>
      <c r="G34" s="123"/>
      <c r="H34" s="106"/>
      <c r="I34" s="106"/>
      <c r="J34" s="106"/>
      <c r="K34" s="106"/>
      <c r="L34" s="124"/>
      <c r="M34" s="106"/>
      <c r="N34" s="110"/>
      <c r="O34" s="110"/>
      <c r="P34" s="125">
        <f>SUM(P35:P35)</f>
        <v>2697000</v>
      </c>
      <c r="Q34" s="112"/>
      <c r="R34" s="131"/>
      <c r="S34" s="112"/>
      <c r="T34" s="113"/>
    </row>
    <row r="35" spans="1:23" ht="15" customHeight="1">
      <c r="A35" s="88"/>
      <c r="B35" s="89"/>
      <c r="C35" s="90"/>
      <c r="D35" s="89"/>
      <c r="E35" s="122"/>
      <c r="F35" s="126" t="s">
        <v>381</v>
      </c>
      <c r="G35" s="121">
        <v>32362000</v>
      </c>
      <c r="H35" s="106" t="s">
        <v>277</v>
      </c>
      <c r="I35" s="1997">
        <v>12</v>
      </c>
      <c r="J35" s="1997"/>
      <c r="K35" s="108"/>
      <c r="L35" s="109"/>
      <c r="M35" s="108"/>
      <c r="N35" s="110"/>
      <c r="O35" s="110" t="s">
        <v>283</v>
      </c>
      <c r="P35" s="111">
        <f>ROUNDUP(G35/12,-3)</f>
        <v>2697000</v>
      </c>
      <c r="Q35" s="112"/>
      <c r="R35" s="131"/>
      <c r="S35" s="112"/>
      <c r="T35" s="113"/>
    </row>
    <row r="36" spans="1:23" s="916" customFormat="1" ht="15" customHeight="1">
      <c r="A36" s="134"/>
      <c r="B36" s="89"/>
      <c r="C36" s="90"/>
      <c r="D36" s="84" t="s">
        <v>382</v>
      </c>
      <c r="E36" s="84"/>
      <c r="F36" s="85"/>
      <c r="G36" s="86"/>
      <c r="H36" s="84"/>
      <c r="I36" s="84"/>
      <c r="J36" s="84"/>
      <c r="K36" s="84"/>
      <c r="L36" s="83"/>
      <c r="M36" s="84"/>
      <c r="N36" s="87"/>
      <c r="O36" s="87"/>
      <c r="P36" s="84"/>
      <c r="Q36" s="76">
        <f>SUM(Q37:Q74)</f>
        <v>14296000</v>
      </c>
      <c r="R36" s="76">
        <f>R37+R44+R47+R50+R55+R58+R61+R64+R68</f>
        <v>13457000</v>
      </c>
      <c r="S36" s="76">
        <f>Q36-R36</f>
        <v>839000</v>
      </c>
      <c r="T36" s="135">
        <f t="shared" si="1"/>
        <v>6.234673404176265E-2</v>
      </c>
    </row>
    <row r="37" spans="1:23" s="915" customFormat="1" ht="15" customHeight="1">
      <c r="A37" s="78"/>
      <c r="B37" s="81"/>
      <c r="C37" s="82"/>
      <c r="D37" s="81"/>
      <c r="E37" s="510" t="s">
        <v>433</v>
      </c>
      <c r="F37" s="515"/>
      <c r="G37" s="511"/>
      <c r="H37" s="510"/>
      <c r="I37" s="510"/>
      <c r="J37" s="510"/>
      <c r="K37" s="510"/>
      <c r="L37" s="512"/>
      <c r="M37" s="510"/>
      <c r="N37" s="513"/>
      <c r="O37" s="513"/>
      <c r="P37" s="510"/>
      <c r="Q37" s="171">
        <f>P38</f>
        <v>4225000</v>
      </c>
      <c r="R37" s="171">
        <v>4200000</v>
      </c>
      <c r="S37" s="171">
        <f>Q37-R37</f>
        <v>25000</v>
      </c>
      <c r="T37" s="172">
        <f t="shared" si="1"/>
        <v>5.9523809523809521E-3</v>
      </c>
    </row>
    <row r="38" spans="1:23" ht="15" customHeight="1">
      <c r="A38" s="88"/>
      <c r="B38" s="89"/>
      <c r="C38" s="90"/>
      <c r="D38" s="89"/>
      <c r="E38" s="90"/>
      <c r="F38" s="96" t="s">
        <v>383</v>
      </c>
      <c r="G38" s="123"/>
      <c r="H38" s="106"/>
      <c r="I38" s="106"/>
      <c r="J38" s="106"/>
      <c r="K38" s="106"/>
      <c r="L38" s="124"/>
      <c r="M38" s="106"/>
      <c r="N38" s="110"/>
      <c r="O38" s="110"/>
      <c r="P38" s="125">
        <f>SUM(P39:P43)</f>
        <v>4225000</v>
      </c>
      <c r="Q38" s="112"/>
      <c r="R38" s="131"/>
      <c r="S38" s="112"/>
      <c r="T38" s="113"/>
    </row>
    <row r="39" spans="1:23" ht="15" customHeight="1">
      <c r="A39" s="88"/>
      <c r="B39" s="89"/>
      <c r="C39" s="90"/>
      <c r="D39" s="89"/>
      <c r="E39" s="122"/>
      <c r="F39" s="126" t="s">
        <v>995</v>
      </c>
      <c r="G39" s="121">
        <v>44166000</v>
      </c>
      <c r="H39" s="106" t="s">
        <v>986</v>
      </c>
      <c r="I39" s="1993">
        <v>4.4999999999999998E-2</v>
      </c>
      <c r="J39" s="1993"/>
      <c r="K39" s="108"/>
      <c r="L39" s="109"/>
      <c r="M39" s="108"/>
      <c r="N39" s="110"/>
      <c r="O39" s="110" t="s">
        <v>982</v>
      </c>
      <c r="P39" s="111">
        <f>ROUNDUP(G39*I39,-3)</f>
        <v>1988000</v>
      </c>
      <c r="Q39" s="112"/>
      <c r="R39" s="112"/>
      <c r="S39" s="112"/>
      <c r="T39" s="113"/>
    </row>
    <row r="40" spans="1:23" ht="15" customHeight="1">
      <c r="A40" s="88"/>
      <c r="B40" s="89"/>
      <c r="C40" s="90"/>
      <c r="D40" s="89"/>
      <c r="E40" s="122"/>
      <c r="F40" s="104" t="s">
        <v>384</v>
      </c>
      <c r="G40" s="121">
        <v>44166000</v>
      </c>
      <c r="H40" s="106" t="s">
        <v>986</v>
      </c>
      <c r="I40" s="1993">
        <v>3.0599999999999999E-2</v>
      </c>
      <c r="J40" s="1993"/>
      <c r="K40" s="108"/>
      <c r="L40" s="109"/>
      <c r="M40" s="108"/>
      <c r="N40" s="110"/>
      <c r="O40" s="110" t="s">
        <v>283</v>
      </c>
      <c r="P40" s="111">
        <f>ROUNDUP(G40*I40,-3)</f>
        <v>1352000</v>
      </c>
      <c r="Q40" s="112"/>
      <c r="R40" s="112"/>
      <c r="S40" s="112"/>
      <c r="T40" s="113"/>
    </row>
    <row r="41" spans="1:23" ht="15" customHeight="1">
      <c r="A41" s="88"/>
      <c r="B41" s="89"/>
      <c r="C41" s="90"/>
      <c r="D41" s="89"/>
      <c r="E41" s="122"/>
      <c r="F41" s="104" t="s">
        <v>385</v>
      </c>
      <c r="G41" s="121">
        <f>P40</f>
        <v>1352000</v>
      </c>
      <c r="H41" s="106" t="s">
        <v>277</v>
      </c>
      <c r="I41" s="1993">
        <v>6.5500000000000003E-2</v>
      </c>
      <c r="J41" s="1993"/>
      <c r="K41" s="108"/>
      <c r="L41" s="109"/>
      <c r="M41" s="108"/>
      <c r="N41" s="110"/>
      <c r="O41" s="110" t="s">
        <v>982</v>
      </c>
      <c r="P41" s="111">
        <f>ROUNDUP(G41*I41,-3)</f>
        <v>89000</v>
      </c>
      <c r="Q41" s="112"/>
      <c r="R41" s="112"/>
      <c r="S41" s="112"/>
      <c r="T41" s="113"/>
      <c r="W41" s="944"/>
    </row>
    <row r="42" spans="1:23" ht="15" customHeight="1">
      <c r="A42" s="88"/>
      <c r="B42" s="89"/>
      <c r="C42" s="90"/>
      <c r="D42" s="89"/>
      <c r="E42" s="122"/>
      <c r="F42" s="104" t="s">
        <v>386</v>
      </c>
      <c r="G42" s="121">
        <v>44166000</v>
      </c>
      <c r="H42" s="106" t="s">
        <v>277</v>
      </c>
      <c r="I42" s="1993">
        <v>8.9999999999999993E-3</v>
      </c>
      <c r="J42" s="1993"/>
      <c r="K42" s="108"/>
      <c r="L42" s="109"/>
      <c r="M42" s="108"/>
      <c r="N42" s="110"/>
      <c r="O42" s="110" t="s">
        <v>982</v>
      </c>
      <c r="P42" s="111">
        <f>ROUNDUP(G42*I42,-3)</f>
        <v>398000</v>
      </c>
      <c r="Q42" s="112"/>
      <c r="R42" s="112"/>
      <c r="S42" s="112"/>
      <c r="T42" s="113"/>
    </row>
    <row r="43" spans="1:23" ht="15" customHeight="1">
      <c r="A43" s="561"/>
      <c r="B43" s="562"/>
      <c r="C43" s="563"/>
      <c r="D43" s="562"/>
      <c r="E43" s="571"/>
      <c r="F43" s="1442" t="s">
        <v>387</v>
      </c>
      <c r="G43" s="161">
        <v>44166000</v>
      </c>
      <c r="H43" s="162" t="s">
        <v>277</v>
      </c>
      <c r="I43" s="2003">
        <v>8.9999999999999993E-3</v>
      </c>
      <c r="J43" s="2003"/>
      <c r="K43" s="163"/>
      <c r="L43" s="164"/>
      <c r="M43" s="163"/>
      <c r="N43" s="165"/>
      <c r="O43" s="165" t="s">
        <v>982</v>
      </c>
      <c r="P43" s="166">
        <f>ROUNDUP(G43*I43,-3)</f>
        <v>398000</v>
      </c>
      <c r="Q43" s="167"/>
      <c r="R43" s="167"/>
      <c r="S43" s="167"/>
      <c r="T43" s="169"/>
    </row>
    <row r="44" spans="1:23" s="915" customFormat="1" ht="15" customHeight="1">
      <c r="A44" s="78"/>
      <c r="B44" s="81"/>
      <c r="C44" s="82"/>
      <c r="D44" s="81"/>
      <c r="E44" s="565" t="s">
        <v>440</v>
      </c>
      <c r="F44" s="566"/>
      <c r="G44" s="567"/>
      <c r="H44" s="565"/>
      <c r="I44" s="565"/>
      <c r="J44" s="565"/>
      <c r="K44" s="565"/>
      <c r="L44" s="568"/>
      <c r="M44" s="565"/>
      <c r="N44" s="569"/>
      <c r="O44" s="569"/>
      <c r="P44" s="565"/>
      <c r="Q44" s="188">
        <f>SUM(P45)</f>
        <v>480000</v>
      </c>
      <c r="R44" s="188">
        <v>480000</v>
      </c>
      <c r="S44" s="188">
        <f>Q44-R44</f>
        <v>0</v>
      </c>
      <c r="T44" s="570">
        <f t="shared" si="1"/>
        <v>0</v>
      </c>
    </row>
    <row r="45" spans="1:23" ht="15" customHeight="1">
      <c r="A45" s="88"/>
      <c r="B45" s="89"/>
      <c r="C45" s="90"/>
      <c r="D45" s="89"/>
      <c r="E45" s="90"/>
      <c r="F45" s="96" t="s">
        <v>867</v>
      </c>
      <c r="G45" s="123"/>
      <c r="H45" s="106"/>
      <c r="I45" s="106"/>
      <c r="J45" s="106"/>
      <c r="K45" s="106"/>
      <c r="L45" s="124"/>
      <c r="M45" s="106"/>
      <c r="N45" s="110"/>
      <c r="O45" s="110"/>
      <c r="P45" s="125">
        <f>SUM(P46:P46)</f>
        <v>480000</v>
      </c>
      <c r="Q45" s="112"/>
      <c r="R45" s="131"/>
      <c r="S45" s="112"/>
      <c r="T45" s="113"/>
    </row>
    <row r="46" spans="1:23" ht="15" customHeight="1">
      <c r="A46" s="88"/>
      <c r="B46" s="89"/>
      <c r="C46" s="90"/>
      <c r="D46" s="89"/>
      <c r="E46" s="122"/>
      <c r="F46" s="126" t="s">
        <v>441</v>
      </c>
      <c r="G46" s="121">
        <v>40000</v>
      </c>
      <c r="H46" s="106" t="s">
        <v>282</v>
      </c>
      <c r="I46" s="107">
        <v>1</v>
      </c>
      <c r="J46" s="106" t="s">
        <v>109</v>
      </c>
      <c r="K46" s="108">
        <v>12</v>
      </c>
      <c r="L46" s="109"/>
      <c r="M46" s="108"/>
      <c r="N46" s="110"/>
      <c r="O46" s="110" t="s">
        <v>281</v>
      </c>
      <c r="P46" s="111">
        <f>G46*I46*K46</f>
        <v>480000</v>
      </c>
      <c r="Q46" s="112"/>
      <c r="R46" s="112"/>
      <c r="S46" s="112"/>
      <c r="T46" s="113"/>
    </row>
    <row r="47" spans="1:23" s="915" customFormat="1" ht="15" customHeight="1">
      <c r="A47" s="78"/>
      <c r="B47" s="81"/>
      <c r="C47" s="82"/>
      <c r="D47" s="81"/>
      <c r="E47" s="510" t="s">
        <v>521</v>
      </c>
      <c r="F47" s="515"/>
      <c r="G47" s="511"/>
      <c r="H47" s="510"/>
      <c r="I47" s="510"/>
      <c r="J47" s="510"/>
      <c r="K47" s="510"/>
      <c r="L47" s="512"/>
      <c r="M47" s="510"/>
      <c r="N47" s="513"/>
      <c r="O47" s="513"/>
      <c r="P47" s="510"/>
      <c r="Q47" s="171">
        <f>SUM(P48)</f>
        <v>1200000</v>
      </c>
      <c r="R47" s="171">
        <v>840000</v>
      </c>
      <c r="S47" s="171">
        <f>Q47-R47</f>
        <v>360000</v>
      </c>
      <c r="T47" s="172">
        <f t="shared" si="1"/>
        <v>0.42857142857142855</v>
      </c>
      <c r="W47" s="1502"/>
    </row>
    <row r="48" spans="1:23" ht="15" customHeight="1">
      <c r="A48" s="88"/>
      <c r="B48" s="89"/>
      <c r="C48" s="90"/>
      <c r="D48" s="89"/>
      <c r="E48" s="90"/>
      <c r="F48" s="106" t="s">
        <v>870</v>
      </c>
      <c r="G48" s="123"/>
      <c r="H48" s="106"/>
      <c r="I48" s="106"/>
      <c r="J48" s="106"/>
      <c r="K48" s="106"/>
      <c r="L48" s="124"/>
      <c r="M48" s="106"/>
      <c r="N48" s="110"/>
      <c r="O48" s="110"/>
      <c r="P48" s="125">
        <f>SUM(P49:P49)</f>
        <v>1200000</v>
      </c>
      <c r="Q48" s="112"/>
      <c r="R48" s="131"/>
      <c r="S48" s="112"/>
      <c r="T48" s="113"/>
    </row>
    <row r="49" spans="1:20" s="916" customFormat="1" ht="15" customHeight="1">
      <c r="A49" s="134"/>
      <c r="B49" s="89"/>
      <c r="C49" s="90"/>
      <c r="D49" s="89"/>
      <c r="E49" s="122"/>
      <c r="F49" s="122" t="s">
        <v>996</v>
      </c>
      <c r="G49" s="136">
        <v>100000</v>
      </c>
      <c r="H49" s="90" t="s">
        <v>282</v>
      </c>
      <c r="I49" s="137">
        <v>12</v>
      </c>
      <c r="J49" s="90"/>
      <c r="K49" s="137"/>
      <c r="L49" s="138"/>
      <c r="M49" s="137"/>
      <c r="N49" s="99"/>
      <c r="O49" s="99" t="s">
        <v>281</v>
      </c>
      <c r="P49" s="139">
        <f>ROUNDUP(G49*I49,-3)</f>
        <v>1200000</v>
      </c>
      <c r="Q49" s="101"/>
      <c r="R49" s="101"/>
      <c r="S49" s="101"/>
      <c r="T49" s="140"/>
    </row>
    <row r="50" spans="1:20" s="915" customFormat="1" ht="15" customHeight="1">
      <c r="A50" s="78"/>
      <c r="B50" s="81"/>
      <c r="C50" s="82"/>
      <c r="D50" s="81"/>
      <c r="E50" s="510" t="s">
        <v>665</v>
      </c>
      <c r="F50" s="515"/>
      <c r="G50" s="511"/>
      <c r="H50" s="510"/>
      <c r="I50" s="510"/>
      <c r="J50" s="510"/>
      <c r="K50" s="510"/>
      <c r="L50" s="512"/>
      <c r="M50" s="510"/>
      <c r="N50" s="513"/>
      <c r="O50" s="513"/>
      <c r="P50" s="510"/>
      <c r="Q50" s="171">
        <f>P51+P53</f>
        <v>2544000</v>
      </c>
      <c r="R50" s="171">
        <v>1320000</v>
      </c>
      <c r="S50" s="171">
        <f>Q50-R50</f>
        <v>1224000</v>
      </c>
      <c r="T50" s="172">
        <f t="shared" si="1"/>
        <v>0.92727272727272725</v>
      </c>
    </row>
    <row r="51" spans="1:20" s="916" customFormat="1" ht="15" customHeight="1">
      <c r="A51" s="134"/>
      <c r="B51" s="89"/>
      <c r="C51" s="90"/>
      <c r="D51" s="89"/>
      <c r="E51" s="90"/>
      <c r="F51" s="96" t="s">
        <v>997</v>
      </c>
      <c r="G51" s="97"/>
      <c r="H51" s="90"/>
      <c r="I51" s="90"/>
      <c r="J51" s="90"/>
      <c r="K51" s="90"/>
      <c r="L51" s="98"/>
      <c r="M51" s="90"/>
      <c r="N51" s="99"/>
      <c r="O51" s="99"/>
      <c r="P51" s="100">
        <f>P52</f>
        <v>2400000</v>
      </c>
      <c r="Q51" s="101"/>
      <c r="R51" s="141"/>
      <c r="S51" s="101"/>
      <c r="T51" s="140"/>
    </row>
    <row r="52" spans="1:20" s="916" customFormat="1" ht="15" customHeight="1">
      <c r="A52" s="134"/>
      <c r="B52" s="89"/>
      <c r="C52" s="90"/>
      <c r="D52" s="89"/>
      <c r="E52" s="103"/>
      <c r="F52" s="104" t="s">
        <v>998</v>
      </c>
      <c r="G52" s="97">
        <v>200000</v>
      </c>
      <c r="H52" s="90" t="s">
        <v>282</v>
      </c>
      <c r="I52" s="137">
        <v>12</v>
      </c>
      <c r="J52" s="90"/>
      <c r="K52" s="137"/>
      <c r="L52" s="138"/>
      <c r="M52" s="137"/>
      <c r="N52" s="99"/>
      <c r="O52" s="99" t="s">
        <v>274</v>
      </c>
      <c r="P52" s="139">
        <f>ROUNDUP(G52*I52,-3)</f>
        <v>2400000</v>
      </c>
      <c r="Q52" s="101"/>
      <c r="R52" s="101"/>
      <c r="S52" s="101"/>
      <c r="T52" s="140"/>
    </row>
    <row r="53" spans="1:20" s="916" customFormat="1" ht="15" customHeight="1">
      <c r="A53" s="134"/>
      <c r="B53" s="89"/>
      <c r="C53" s="90"/>
      <c r="D53" s="89"/>
      <c r="E53" s="103"/>
      <c r="F53" s="96" t="s">
        <v>999</v>
      </c>
      <c r="G53" s="97"/>
      <c r="H53" s="90"/>
      <c r="I53" s="90"/>
      <c r="J53" s="90"/>
      <c r="K53" s="90"/>
      <c r="L53" s="98"/>
      <c r="M53" s="90"/>
      <c r="N53" s="99"/>
      <c r="O53" s="99"/>
      <c r="P53" s="100">
        <f>P54</f>
        <v>144000</v>
      </c>
      <c r="Q53" s="101"/>
      <c r="R53" s="141"/>
      <c r="S53" s="101"/>
      <c r="T53" s="140"/>
    </row>
    <row r="54" spans="1:20" s="916" customFormat="1" ht="15" customHeight="1">
      <c r="A54" s="134"/>
      <c r="B54" s="89"/>
      <c r="C54" s="90"/>
      <c r="D54" s="89"/>
      <c r="E54" s="103"/>
      <c r="F54" s="104" t="s">
        <v>1000</v>
      </c>
      <c r="G54" s="97">
        <v>12000</v>
      </c>
      <c r="H54" s="90" t="s">
        <v>277</v>
      </c>
      <c r="I54" s="137">
        <v>12</v>
      </c>
      <c r="J54" s="90"/>
      <c r="K54" s="137"/>
      <c r="L54" s="138"/>
      <c r="M54" s="137"/>
      <c r="N54" s="99"/>
      <c r="O54" s="99" t="s">
        <v>274</v>
      </c>
      <c r="P54" s="139">
        <f>ROUNDUP(G54*I54,-3)</f>
        <v>144000</v>
      </c>
      <c r="Q54" s="101"/>
      <c r="R54" s="101"/>
      <c r="S54" s="101"/>
      <c r="T54" s="140"/>
    </row>
    <row r="55" spans="1:20" s="915" customFormat="1" ht="15" customHeight="1">
      <c r="A55" s="78"/>
      <c r="B55" s="81"/>
      <c r="C55" s="82"/>
      <c r="D55" s="81"/>
      <c r="E55" s="510" t="s">
        <v>396</v>
      </c>
      <c r="F55" s="515"/>
      <c r="G55" s="511"/>
      <c r="H55" s="510"/>
      <c r="I55" s="510"/>
      <c r="J55" s="510"/>
      <c r="K55" s="510"/>
      <c r="L55" s="512"/>
      <c r="M55" s="510"/>
      <c r="N55" s="513"/>
      <c r="O55" s="513"/>
      <c r="P55" s="510"/>
      <c r="Q55" s="171">
        <f>P56</f>
        <v>1200000</v>
      </c>
      <c r="R55" s="171">
        <v>2400000</v>
      </c>
      <c r="S55" s="171">
        <f>Q55-R55</f>
        <v>-1200000</v>
      </c>
      <c r="T55" s="172">
        <f t="shared" si="1"/>
        <v>-0.5</v>
      </c>
    </row>
    <row r="56" spans="1:20" ht="15" customHeight="1">
      <c r="A56" s="88"/>
      <c r="B56" s="89"/>
      <c r="C56" s="90"/>
      <c r="D56" s="89"/>
      <c r="E56" s="90"/>
      <c r="F56" s="96" t="s">
        <v>1001</v>
      </c>
      <c r="G56" s="123"/>
      <c r="H56" s="106"/>
      <c r="I56" s="106"/>
      <c r="J56" s="106"/>
      <c r="K56" s="106"/>
      <c r="L56" s="124"/>
      <c r="M56" s="106"/>
      <c r="N56" s="110"/>
      <c r="O56" s="110"/>
      <c r="P56" s="125">
        <f>SUM(P57:P57)</f>
        <v>1200000</v>
      </c>
      <c r="Q56" s="112"/>
      <c r="R56" s="131"/>
      <c r="S56" s="112"/>
      <c r="T56" s="113"/>
    </row>
    <row r="57" spans="1:20" ht="15" customHeight="1">
      <c r="A57" s="88"/>
      <c r="B57" s="89"/>
      <c r="C57" s="90"/>
      <c r="D57" s="89"/>
      <c r="E57" s="122"/>
      <c r="F57" s="126" t="s">
        <v>1002</v>
      </c>
      <c r="G57" s="121">
        <v>100000</v>
      </c>
      <c r="H57" s="106" t="s">
        <v>282</v>
      </c>
      <c r="I57" s="142">
        <v>1</v>
      </c>
      <c r="J57" s="106" t="s">
        <v>109</v>
      </c>
      <c r="K57" s="108">
        <v>12</v>
      </c>
      <c r="L57" s="109"/>
      <c r="M57" s="108"/>
      <c r="N57" s="110"/>
      <c r="O57" s="110" t="s">
        <v>281</v>
      </c>
      <c r="P57" s="111">
        <f>G57*I57*K57</f>
        <v>1200000</v>
      </c>
      <c r="Q57" s="112"/>
      <c r="R57" s="112"/>
      <c r="S57" s="112"/>
      <c r="T57" s="113"/>
    </row>
    <row r="58" spans="1:20" s="915" customFormat="1" ht="15" customHeight="1">
      <c r="A58" s="78"/>
      <c r="B58" s="81"/>
      <c r="C58" s="82"/>
      <c r="D58" s="81"/>
      <c r="E58" s="510" t="s">
        <v>888</v>
      </c>
      <c r="F58" s="515"/>
      <c r="G58" s="511"/>
      <c r="H58" s="510"/>
      <c r="I58" s="510"/>
      <c r="J58" s="510"/>
      <c r="K58" s="510"/>
      <c r="L58" s="512"/>
      <c r="M58" s="510"/>
      <c r="N58" s="513"/>
      <c r="O58" s="513"/>
      <c r="P58" s="510"/>
      <c r="Q58" s="171">
        <f>+P59</f>
        <v>2040000</v>
      </c>
      <c r="R58" s="171">
        <v>3000000</v>
      </c>
      <c r="S58" s="171">
        <f>Q58-R58</f>
        <v>-960000</v>
      </c>
      <c r="T58" s="172">
        <f t="shared" ref="T58:T68" si="2">S58/R58</f>
        <v>-0.32</v>
      </c>
    </row>
    <row r="59" spans="1:20" ht="15" customHeight="1">
      <c r="A59" s="88"/>
      <c r="B59" s="89"/>
      <c r="C59" s="90"/>
      <c r="D59" s="89"/>
      <c r="E59" s="90"/>
      <c r="F59" s="96" t="s">
        <v>889</v>
      </c>
      <c r="G59" s="123"/>
      <c r="H59" s="106"/>
      <c r="I59" s="106"/>
      <c r="J59" s="106"/>
      <c r="K59" s="106"/>
      <c r="L59" s="124"/>
      <c r="M59" s="106"/>
      <c r="N59" s="110"/>
      <c r="O59" s="110"/>
      <c r="P59" s="125">
        <f>SUM(P60:P60)</f>
        <v>2040000</v>
      </c>
      <c r="Q59" s="112"/>
      <c r="R59" s="131"/>
      <c r="S59" s="112"/>
      <c r="T59" s="113"/>
    </row>
    <row r="60" spans="1:20" ht="15" customHeight="1">
      <c r="A60" s="88"/>
      <c r="B60" s="89"/>
      <c r="C60" s="90"/>
      <c r="D60" s="89"/>
      <c r="E60" s="122"/>
      <c r="F60" s="126" t="s">
        <v>1003</v>
      </c>
      <c r="G60" s="121">
        <v>170000</v>
      </c>
      <c r="H60" s="106" t="s">
        <v>277</v>
      </c>
      <c r="I60" s="143">
        <v>1</v>
      </c>
      <c r="J60" s="106" t="s">
        <v>109</v>
      </c>
      <c r="K60" s="108">
        <v>12</v>
      </c>
      <c r="L60" s="109"/>
      <c r="M60" s="108"/>
      <c r="N60" s="110"/>
      <c r="O60" s="110" t="s">
        <v>283</v>
      </c>
      <c r="P60" s="111">
        <f>ROUNDUP(G60*I60*K60,-3)</f>
        <v>2040000</v>
      </c>
      <c r="Q60" s="112"/>
      <c r="R60" s="112"/>
      <c r="S60" s="112"/>
      <c r="T60" s="113"/>
    </row>
    <row r="61" spans="1:20" s="915" customFormat="1" ht="15" customHeight="1">
      <c r="A61" s="78"/>
      <c r="B61" s="81"/>
      <c r="C61" s="82"/>
      <c r="D61" s="81"/>
      <c r="E61" s="510" t="s">
        <v>1004</v>
      </c>
      <c r="F61" s="515"/>
      <c r="G61" s="511"/>
      <c r="H61" s="510"/>
      <c r="I61" s="510"/>
      <c r="J61" s="510"/>
      <c r="K61" s="510"/>
      <c r="L61" s="512"/>
      <c r="M61" s="510"/>
      <c r="N61" s="513"/>
      <c r="O61" s="513"/>
      <c r="P61" s="510"/>
      <c r="Q61" s="171">
        <f>+P62</f>
        <v>1000000</v>
      </c>
      <c r="R61" s="171">
        <v>1000000</v>
      </c>
      <c r="S61" s="171">
        <f>Q61-R61</f>
        <v>0</v>
      </c>
      <c r="T61" s="172">
        <f t="shared" si="2"/>
        <v>0</v>
      </c>
    </row>
    <row r="62" spans="1:20" ht="15" customHeight="1">
      <c r="A62" s="88"/>
      <c r="B62" s="89"/>
      <c r="C62" s="90"/>
      <c r="D62" s="89"/>
      <c r="E62" s="90"/>
      <c r="F62" s="96" t="s">
        <v>1005</v>
      </c>
      <c r="G62" s="123"/>
      <c r="H62" s="106"/>
      <c r="I62" s="106"/>
      <c r="J62" s="106"/>
      <c r="K62" s="106"/>
      <c r="L62" s="124"/>
      <c r="M62" s="106"/>
      <c r="N62" s="110"/>
      <c r="O62" s="110"/>
      <c r="P62" s="125">
        <f>SUM(P63:P63)</f>
        <v>1000000</v>
      </c>
      <c r="Q62" s="112"/>
      <c r="R62" s="131"/>
      <c r="S62" s="112"/>
      <c r="T62" s="113"/>
    </row>
    <row r="63" spans="1:20" ht="15" customHeight="1">
      <c r="A63" s="88"/>
      <c r="B63" s="89"/>
      <c r="C63" s="90"/>
      <c r="D63" s="89"/>
      <c r="E63" s="122"/>
      <c r="F63" s="126" t="s">
        <v>1006</v>
      </c>
      <c r="G63" s="121">
        <v>1000000</v>
      </c>
      <c r="H63" s="106" t="s">
        <v>277</v>
      </c>
      <c r="I63" s="142">
        <v>1</v>
      </c>
      <c r="J63" s="106"/>
      <c r="K63" s="108"/>
      <c r="L63" s="109"/>
      <c r="M63" s="108"/>
      <c r="N63" s="110"/>
      <c r="O63" s="110" t="s">
        <v>281</v>
      </c>
      <c r="P63" s="111">
        <f>ROUNDUP(G63*I63,-3)</f>
        <v>1000000</v>
      </c>
      <c r="Q63" s="112"/>
      <c r="R63" s="112"/>
      <c r="S63" s="112"/>
      <c r="T63" s="113"/>
    </row>
    <row r="64" spans="1:20" s="915" customFormat="1" ht="15" customHeight="1">
      <c r="A64" s="78"/>
      <c r="B64" s="81"/>
      <c r="C64" s="82"/>
      <c r="D64" s="81"/>
      <c r="E64" s="510" t="s">
        <v>414</v>
      </c>
      <c r="F64" s="515"/>
      <c r="G64" s="511"/>
      <c r="H64" s="510"/>
      <c r="I64" s="510"/>
      <c r="J64" s="510"/>
      <c r="K64" s="510"/>
      <c r="L64" s="512"/>
      <c r="M64" s="510"/>
      <c r="N64" s="513"/>
      <c r="O64" s="513"/>
      <c r="P64" s="510"/>
      <c r="Q64" s="171">
        <f>+P65</f>
        <v>250000</v>
      </c>
      <c r="R64" s="171">
        <v>120000</v>
      </c>
      <c r="S64" s="171">
        <f>Q64-R64</f>
        <v>130000</v>
      </c>
      <c r="T64" s="172">
        <f t="shared" si="2"/>
        <v>1.0833333333333333</v>
      </c>
    </row>
    <row r="65" spans="1:24" ht="15" customHeight="1">
      <c r="A65" s="88"/>
      <c r="B65" s="89"/>
      <c r="C65" s="90"/>
      <c r="D65" s="89"/>
      <c r="E65" s="144"/>
      <c r="F65" s="145" t="s">
        <v>894</v>
      </c>
      <c r="G65" s="146"/>
      <c r="H65" s="147"/>
      <c r="I65" s="147"/>
      <c r="J65" s="147"/>
      <c r="K65" s="147"/>
      <c r="L65" s="148"/>
      <c r="M65" s="147"/>
      <c r="N65" s="149"/>
      <c r="O65" s="149"/>
      <c r="P65" s="150">
        <f>SUM(P66:P67)</f>
        <v>250000</v>
      </c>
      <c r="Q65" s="151"/>
      <c r="R65" s="152"/>
      <c r="S65" s="151"/>
      <c r="T65" s="153"/>
      <c r="X65" s="944"/>
    </row>
    <row r="66" spans="1:24" s="916" customFormat="1" ht="15" customHeight="1">
      <c r="A66" s="134"/>
      <c r="B66" s="89"/>
      <c r="C66" s="90"/>
      <c r="D66" s="89"/>
      <c r="E66" s="122"/>
      <c r="F66" s="126" t="s">
        <v>1007</v>
      </c>
      <c r="G66" s="136">
        <v>150000</v>
      </c>
      <c r="H66" s="90" t="s">
        <v>986</v>
      </c>
      <c r="I66" s="154">
        <v>1</v>
      </c>
      <c r="J66" s="90"/>
      <c r="K66" s="137"/>
      <c r="L66" s="138"/>
      <c r="M66" s="137"/>
      <c r="N66" s="99"/>
      <c r="O66" s="99" t="s">
        <v>281</v>
      </c>
      <c r="P66" s="139">
        <f>ROUNDUP(G66*I66,-3)</f>
        <v>150000</v>
      </c>
      <c r="Q66" s="101"/>
      <c r="R66" s="101"/>
      <c r="S66" s="101"/>
      <c r="T66" s="140"/>
    </row>
    <row r="67" spans="1:24" s="916" customFormat="1" ht="15" customHeight="1">
      <c r="A67" s="134"/>
      <c r="B67" s="89"/>
      <c r="C67" s="90"/>
      <c r="D67" s="89"/>
      <c r="E67" s="103"/>
      <c r="F67" s="104" t="s">
        <v>1008</v>
      </c>
      <c r="G67" s="97">
        <v>100000</v>
      </c>
      <c r="H67" s="90" t="s">
        <v>277</v>
      </c>
      <c r="I67" s="155">
        <v>1</v>
      </c>
      <c r="J67" s="90"/>
      <c r="K67" s="137"/>
      <c r="L67" s="138"/>
      <c r="M67" s="137"/>
      <c r="N67" s="99"/>
      <c r="O67" s="99" t="s">
        <v>281</v>
      </c>
      <c r="P67" s="139">
        <f>ROUNDUP(G67*I67,-3)</f>
        <v>100000</v>
      </c>
      <c r="Q67" s="101"/>
      <c r="R67" s="141"/>
      <c r="S67" s="101"/>
      <c r="T67" s="140"/>
    </row>
    <row r="68" spans="1:24" s="915" customFormat="1" ht="15" customHeight="1">
      <c r="A68" s="78"/>
      <c r="B68" s="81"/>
      <c r="C68" s="82"/>
      <c r="D68" s="81"/>
      <c r="E68" s="510" t="s">
        <v>417</v>
      </c>
      <c r="F68" s="515"/>
      <c r="G68" s="511"/>
      <c r="H68" s="510"/>
      <c r="I68" s="510"/>
      <c r="J68" s="510"/>
      <c r="K68" s="510"/>
      <c r="L68" s="512"/>
      <c r="M68" s="510"/>
      <c r="N68" s="513"/>
      <c r="O68" s="513"/>
      <c r="P68" s="510"/>
      <c r="Q68" s="171">
        <f>+P69</f>
        <v>1057000</v>
      </c>
      <c r="R68" s="171">
        <v>97000</v>
      </c>
      <c r="S68" s="171">
        <f>Q68-R68</f>
        <v>960000</v>
      </c>
      <c r="T68" s="172">
        <f t="shared" si="2"/>
        <v>9.8969072164948457</v>
      </c>
    </row>
    <row r="69" spans="1:24" ht="15" customHeight="1">
      <c r="A69" s="88"/>
      <c r="B69" s="89"/>
      <c r="C69" s="90"/>
      <c r="D69" s="89"/>
      <c r="E69" s="90"/>
      <c r="F69" s="96" t="s">
        <v>1009</v>
      </c>
      <c r="G69" s="123"/>
      <c r="H69" s="106"/>
      <c r="I69" s="106"/>
      <c r="J69" s="106"/>
      <c r="K69" s="106"/>
      <c r="L69" s="124"/>
      <c r="M69" s="106"/>
      <c r="N69" s="110"/>
      <c r="O69" s="110"/>
      <c r="P69" s="125">
        <f>SUM(P70:P71)</f>
        <v>1057000</v>
      </c>
      <c r="Q69" s="112"/>
      <c r="R69" s="131"/>
      <c r="S69" s="112"/>
      <c r="T69" s="113"/>
      <c r="W69" s="944"/>
    </row>
    <row r="70" spans="1:24" ht="15" customHeight="1">
      <c r="A70" s="88"/>
      <c r="B70" s="89"/>
      <c r="C70" s="90"/>
      <c r="D70" s="89"/>
      <c r="E70" s="90"/>
      <c r="F70" s="126" t="s">
        <v>418</v>
      </c>
      <c r="G70" s="121">
        <v>80000</v>
      </c>
      <c r="H70" s="106" t="s">
        <v>282</v>
      </c>
      <c r="I70" s="108">
        <v>12</v>
      </c>
      <c r="J70" s="106"/>
      <c r="K70" s="108"/>
      <c r="L70" s="109"/>
      <c r="M70" s="108"/>
      <c r="N70" s="110"/>
      <c r="O70" s="110" t="s">
        <v>281</v>
      </c>
      <c r="P70" s="111">
        <f>ROUNDUP(G70*I70,-3)</f>
        <v>960000</v>
      </c>
      <c r="Q70" s="112"/>
      <c r="R70" s="131"/>
      <c r="S70" s="112"/>
      <c r="T70" s="113"/>
    </row>
    <row r="71" spans="1:24" ht="15" customHeight="1">
      <c r="A71" s="88"/>
      <c r="B71" s="89"/>
      <c r="C71" s="90"/>
      <c r="D71" s="89"/>
      <c r="E71" s="122"/>
      <c r="F71" s="126" t="s">
        <v>944</v>
      </c>
      <c r="G71" s="121">
        <v>97000</v>
      </c>
      <c r="H71" s="106" t="s">
        <v>277</v>
      </c>
      <c r="I71" s="156">
        <v>1</v>
      </c>
      <c r="J71" s="106"/>
      <c r="K71" s="108"/>
      <c r="L71" s="109"/>
      <c r="M71" s="108"/>
      <c r="N71" s="110"/>
      <c r="O71" s="110" t="s">
        <v>281</v>
      </c>
      <c r="P71" s="111">
        <f>ROUNDUP(G71*I71,-3)</f>
        <v>97000</v>
      </c>
      <c r="Q71" s="112"/>
      <c r="R71" s="112"/>
      <c r="S71" s="112"/>
      <c r="T71" s="113"/>
    </row>
    <row r="72" spans="1:24" s="915" customFormat="1" ht="15" customHeight="1">
      <c r="A72" s="78"/>
      <c r="B72" s="81"/>
      <c r="C72" s="82"/>
      <c r="D72" s="157"/>
      <c r="E72" s="514" t="s">
        <v>765</v>
      </c>
      <c r="F72" s="515"/>
      <c r="G72" s="511"/>
      <c r="H72" s="510"/>
      <c r="I72" s="510"/>
      <c r="J72" s="510"/>
      <c r="K72" s="510"/>
      <c r="L72" s="512"/>
      <c r="M72" s="510"/>
      <c r="N72" s="513"/>
      <c r="O72" s="513"/>
      <c r="P72" s="510"/>
      <c r="Q72" s="171">
        <f>+P73</f>
        <v>300000</v>
      </c>
      <c r="R72" s="171">
        <v>0</v>
      </c>
      <c r="S72" s="171">
        <f>Q72-R72</f>
        <v>300000</v>
      </c>
      <c r="T72" s="516">
        <v>1</v>
      </c>
    </row>
    <row r="73" spans="1:24" ht="15" customHeight="1">
      <c r="A73" s="88"/>
      <c r="B73" s="89"/>
      <c r="C73" s="90"/>
      <c r="D73" s="158"/>
      <c r="E73" s="158"/>
      <c r="F73" s="96" t="s">
        <v>234</v>
      </c>
      <c r="G73" s="123"/>
      <c r="H73" s="106"/>
      <c r="I73" s="106"/>
      <c r="J73" s="106"/>
      <c r="K73" s="106"/>
      <c r="L73" s="124"/>
      <c r="M73" s="106"/>
      <c r="N73" s="110"/>
      <c r="O73" s="110"/>
      <c r="P73" s="125">
        <f>SUM(P74)</f>
        <v>300000</v>
      </c>
      <c r="Q73" s="112"/>
      <c r="R73" s="131"/>
      <c r="S73" s="112"/>
      <c r="T73" s="113"/>
    </row>
    <row r="74" spans="1:24" ht="15" customHeight="1">
      <c r="A74" s="88"/>
      <c r="B74" s="89"/>
      <c r="C74" s="90"/>
      <c r="D74" s="158"/>
      <c r="E74" s="159"/>
      <c r="F74" s="160" t="s">
        <v>1010</v>
      </c>
      <c r="G74" s="161">
        <v>300000</v>
      </c>
      <c r="H74" s="162" t="s">
        <v>282</v>
      </c>
      <c r="I74" s="107">
        <v>1</v>
      </c>
      <c r="J74" s="162"/>
      <c r="K74" s="163"/>
      <c r="L74" s="164"/>
      <c r="M74" s="163"/>
      <c r="N74" s="165"/>
      <c r="O74" s="165" t="s">
        <v>281</v>
      </c>
      <c r="P74" s="166">
        <f>ROUNDUP(G74*I74,-3)</f>
        <v>300000</v>
      </c>
      <c r="Q74" s="167"/>
      <c r="R74" s="168"/>
      <c r="S74" s="167"/>
      <c r="T74" s="169"/>
    </row>
    <row r="75" spans="1:24" ht="15" customHeight="1">
      <c r="A75" s="88"/>
      <c r="B75" s="81"/>
      <c r="C75" s="174" t="s">
        <v>906</v>
      </c>
      <c r="D75" s="173"/>
      <c r="E75" s="174"/>
      <c r="F75" s="175"/>
      <c r="G75" s="176"/>
      <c r="H75" s="174"/>
      <c r="I75" s="174"/>
      <c r="J75" s="174"/>
      <c r="K75" s="174"/>
      <c r="L75" s="177"/>
      <c r="M75" s="174"/>
      <c r="N75" s="67"/>
      <c r="O75" s="67"/>
      <c r="P75" s="174"/>
      <c r="Q75" s="178">
        <f>+Q80</f>
        <v>4030000</v>
      </c>
      <c r="R75" s="178">
        <f>SUM(R76,R80)</f>
        <v>1600000</v>
      </c>
      <c r="S75" s="178">
        <f>Q75-R75</f>
        <v>2430000</v>
      </c>
      <c r="T75" s="179">
        <f t="shared" ref="T75:T81" si="3">S75/R75</f>
        <v>1.51875</v>
      </c>
    </row>
    <row r="76" spans="1:24" ht="15" customHeight="1">
      <c r="A76" s="88"/>
      <c r="B76" s="81"/>
      <c r="C76" s="82"/>
      <c r="D76" s="394" t="s">
        <v>1011</v>
      </c>
      <c r="E76" s="84"/>
      <c r="F76" s="85"/>
      <c r="G76" s="86"/>
      <c r="H76" s="84"/>
      <c r="I76" s="84"/>
      <c r="J76" s="84"/>
      <c r="K76" s="84"/>
      <c r="L76" s="83"/>
      <c r="M76" s="84"/>
      <c r="N76" s="87"/>
      <c r="O76" s="87"/>
      <c r="P76" s="84"/>
      <c r="Q76" s="76">
        <f>Q77</f>
        <v>0</v>
      </c>
      <c r="R76" s="76">
        <f>R77</f>
        <v>0</v>
      </c>
      <c r="S76" s="76">
        <f>Q76-R76</f>
        <v>0</v>
      </c>
      <c r="T76" s="77">
        <v>0</v>
      </c>
    </row>
    <row r="77" spans="1:24" ht="15" customHeight="1">
      <c r="A77" s="561"/>
      <c r="B77" s="562"/>
      <c r="C77" s="563"/>
      <c r="D77" s="564"/>
      <c r="E77" s="510" t="s">
        <v>1012</v>
      </c>
      <c r="F77" s="92"/>
      <c r="G77" s="93"/>
      <c r="H77" s="91"/>
      <c r="I77" s="91"/>
      <c r="J77" s="91"/>
      <c r="K77" s="91"/>
      <c r="L77" s="94"/>
      <c r="M77" s="91"/>
      <c r="N77" s="95"/>
      <c r="O77" s="95"/>
      <c r="P77" s="91"/>
      <c r="Q77" s="171">
        <f>P78</f>
        <v>0</v>
      </c>
      <c r="R77" s="171">
        <v>0</v>
      </c>
      <c r="S77" s="171">
        <v>0</v>
      </c>
      <c r="T77" s="172">
        <v>0</v>
      </c>
    </row>
    <row r="78" spans="1:24" s="916" customFormat="1" ht="15" hidden="1" customHeight="1">
      <c r="A78" s="134"/>
      <c r="B78" s="89"/>
      <c r="C78" s="90"/>
      <c r="D78" s="89"/>
      <c r="E78" s="90"/>
      <c r="F78" s="96" t="s">
        <v>1013</v>
      </c>
      <c r="G78" s="97"/>
      <c r="H78" s="90"/>
      <c r="I78" s="90"/>
      <c r="J78" s="90"/>
      <c r="K78" s="90"/>
      <c r="L78" s="98"/>
      <c r="M78" s="90"/>
      <c r="N78" s="99"/>
      <c r="O78" s="99"/>
      <c r="P78" s="100">
        <f>SUM(P79:P79)</f>
        <v>0</v>
      </c>
      <c r="Q78" s="101"/>
      <c r="R78" s="141"/>
      <c r="S78" s="101"/>
      <c r="T78" s="140"/>
    </row>
    <row r="79" spans="1:24" s="916" customFormat="1" ht="15" hidden="1" customHeight="1">
      <c r="A79" s="134"/>
      <c r="B79" s="89"/>
      <c r="C79" s="90"/>
      <c r="D79" s="89"/>
      <c r="E79" s="90"/>
      <c r="F79" s="126" t="s">
        <v>1014</v>
      </c>
      <c r="G79" s="97"/>
      <c r="H79" s="90" t="s">
        <v>282</v>
      </c>
      <c r="I79" s="90"/>
      <c r="J79" s="90"/>
      <c r="K79" s="90"/>
      <c r="L79" s="98"/>
      <c r="M79" s="90"/>
      <c r="N79" s="99"/>
      <c r="O79" s="99" t="s">
        <v>274</v>
      </c>
      <c r="P79" s="139">
        <f>ROUND(G79*I79,-1)</f>
        <v>0</v>
      </c>
      <c r="Q79" s="101"/>
      <c r="R79" s="101"/>
      <c r="S79" s="101"/>
      <c r="T79" s="140"/>
    </row>
    <row r="80" spans="1:24" s="916" customFormat="1" ht="15" customHeight="1">
      <c r="A80" s="134"/>
      <c r="B80" s="81"/>
      <c r="C80" s="82"/>
      <c r="D80" s="394" t="s">
        <v>703</v>
      </c>
      <c r="E80" s="84"/>
      <c r="F80" s="85"/>
      <c r="G80" s="86"/>
      <c r="H80" s="84"/>
      <c r="I80" s="84"/>
      <c r="J80" s="84"/>
      <c r="K80" s="84"/>
      <c r="L80" s="83"/>
      <c r="M80" s="84"/>
      <c r="N80" s="87"/>
      <c r="O80" s="87"/>
      <c r="P80" s="84"/>
      <c r="Q80" s="76">
        <f>+Q81</f>
        <v>4030000</v>
      </c>
      <c r="R80" s="76">
        <f>R81</f>
        <v>1600000</v>
      </c>
      <c r="S80" s="76">
        <f>Q80-R80</f>
        <v>2430000</v>
      </c>
      <c r="T80" s="77">
        <f t="shared" ref="T80" si="4">S80/R80</f>
        <v>1.51875</v>
      </c>
      <c r="W80" s="1579"/>
    </row>
    <row r="81" spans="1:20" ht="15" customHeight="1">
      <c r="A81" s="88"/>
      <c r="B81" s="89"/>
      <c r="C81" s="90"/>
      <c r="D81" s="170"/>
      <c r="E81" s="510" t="s">
        <v>2447</v>
      </c>
      <c r="F81" s="92"/>
      <c r="G81" s="93"/>
      <c r="H81" s="91"/>
      <c r="I81" s="91"/>
      <c r="J81" s="91"/>
      <c r="K81" s="91"/>
      <c r="L81" s="94"/>
      <c r="M81" s="91"/>
      <c r="N81" s="95"/>
      <c r="O81" s="95"/>
      <c r="P81" s="91"/>
      <c r="Q81" s="171">
        <f>P84+P90+P93+P95+P97</f>
        <v>4030000</v>
      </c>
      <c r="R81" s="171">
        <v>1600000</v>
      </c>
      <c r="S81" s="171">
        <f>Q81-R81</f>
        <v>2430000</v>
      </c>
      <c r="T81" s="172">
        <f t="shared" si="3"/>
        <v>1.51875</v>
      </c>
    </row>
    <row r="82" spans="1:20" s="916" customFormat="1" ht="15" customHeight="1">
      <c r="A82" s="134"/>
      <c r="B82" s="89"/>
      <c r="C82" s="90"/>
      <c r="D82" s="89"/>
      <c r="E82" s="90"/>
      <c r="F82" s="96" t="s">
        <v>1015</v>
      </c>
      <c r="G82" s="97"/>
      <c r="H82" s="90"/>
      <c r="I82" s="90"/>
      <c r="J82" s="90"/>
      <c r="K82" s="90"/>
      <c r="L82" s="98"/>
      <c r="M82" s="90"/>
      <c r="N82" s="99"/>
      <c r="O82" s="99"/>
      <c r="P82" s="100"/>
      <c r="Q82" s="101"/>
      <c r="R82" s="141"/>
      <c r="S82" s="101"/>
      <c r="T82" s="140"/>
    </row>
    <row r="83" spans="1:20" s="916" customFormat="1" ht="15" customHeight="1">
      <c r="A83" s="134"/>
      <c r="B83" s="89"/>
      <c r="C83" s="90"/>
      <c r="D83" s="89"/>
      <c r="E83" s="90"/>
      <c r="F83" s="1856" t="s">
        <v>1016</v>
      </c>
      <c r="G83" s="1857"/>
      <c r="H83" s="1858"/>
      <c r="I83" s="1859"/>
      <c r="J83" s="1858"/>
      <c r="K83" s="1858"/>
      <c r="L83" s="1860"/>
      <c r="M83" s="1858"/>
      <c r="N83" s="1861"/>
      <c r="O83" s="1861"/>
      <c r="P83" s="1862">
        <f>P84+P90+P93+P95+P97</f>
        <v>4030000</v>
      </c>
      <c r="Q83" s="101"/>
      <c r="R83" s="101"/>
      <c r="S83" s="101"/>
      <c r="T83" s="140"/>
    </row>
    <row r="84" spans="1:20" s="916" customFormat="1" ht="15" customHeight="1">
      <c r="A84" s="134"/>
      <c r="B84" s="89"/>
      <c r="C84" s="90"/>
      <c r="D84" s="89"/>
      <c r="E84" s="90"/>
      <c r="F84" s="231" t="s">
        <v>2746</v>
      </c>
      <c r="G84" s="97"/>
      <c r="H84" s="90"/>
      <c r="I84" s="156"/>
      <c r="J84" s="90"/>
      <c r="K84" s="90"/>
      <c r="L84" s="98"/>
      <c r="M84" s="90"/>
      <c r="N84" s="99"/>
      <c r="O84" s="99"/>
      <c r="P84" s="100">
        <f>SUM(P85:P89)</f>
        <v>1450000</v>
      </c>
      <c r="Q84" s="101"/>
      <c r="R84" s="101"/>
      <c r="S84" s="101"/>
      <c r="T84" s="140"/>
    </row>
    <row r="85" spans="1:20" s="916" customFormat="1" ht="15" customHeight="1">
      <c r="A85" s="134"/>
      <c r="B85" s="89"/>
      <c r="C85" s="90"/>
      <c r="D85" s="89"/>
      <c r="E85" s="90"/>
      <c r="F85" s="231" t="s">
        <v>2751</v>
      </c>
      <c r="G85" s="121">
        <v>200000</v>
      </c>
      <c r="H85" s="106" t="s">
        <v>282</v>
      </c>
      <c r="I85" s="142">
        <v>1</v>
      </c>
      <c r="J85" s="106"/>
      <c r="K85" s="108"/>
      <c r="L85" s="109"/>
      <c r="M85" s="108"/>
      <c r="N85" s="110"/>
      <c r="O85" s="110" t="s">
        <v>281</v>
      </c>
      <c r="P85" s="111">
        <f>ROUNDUP(G85*I85,-3)</f>
        <v>200000</v>
      </c>
      <c r="Q85" s="101"/>
      <c r="R85" s="101"/>
      <c r="S85" s="101"/>
      <c r="T85" s="140"/>
    </row>
    <row r="86" spans="1:20" s="916" customFormat="1" ht="15" customHeight="1">
      <c r="A86" s="134"/>
      <c r="B86" s="89"/>
      <c r="C86" s="90"/>
      <c r="D86" s="89"/>
      <c r="E86" s="90"/>
      <c r="F86" s="231" t="s">
        <v>2752</v>
      </c>
      <c r="G86" s="121">
        <v>100000</v>
      </c>
      <c r="H86" s="106" t="s">
        <v>282</v>
      </c>
      <c r="I86" s="142">
        <v>1</v>
      </c>
      <c r="J86" s="106"/>
      <c r="K86" s="108"/>
      <c r="L86" s="109"/>
      <c r="M86" s="108"/>
      <c r="N86" s="110"/>
      <c r="O86" s="110" t="s">
        <v>281</v>
      </c>
      <c r="P86" s="111">
        <f>ROUNDUP(G86*I86,-3)</f>
        <v>100000</v>
      </c>
      <c r="Q86" s="101"/>
      <c r="R86" s="101"/>
      <c r="S86" s="101"/>
      <c r="T86" s="140"/>
    </row>
    <row r="87" spans="1:20" s="916" customFormat="1" ht="15" customHeight="1">
      <c r="A87" s="134"/>
      <c r="B87" s="89"/>
      <c r="C87" s="90"/>
      <c r="D87" s="89"/>
      <c r="E87" s="90"/>
      <c r="F87" s="231" t="s">
        <v>2753</v>
      </c>
      <c r="G87" s="121">
        <v>22500</v>
      </c>
      <c r="H87" s="106" t="s">
        <v>282</v>
      </c>
      <c r="I87" s="107">
        <v>20</v>
      </c>
      <c r="J87" s="106"/>
      <c r="K87" s="108"/>
      <c r="L87" s="109"/>
      <c r="M87" s="108"/>
      <c r="N87" s="110"/>
      <c r="O87" s="110" t="s">
        <v>281</v>
      </c>
      <c r="P87" s="111">
        <f>ROUNDUP(G87*I87,-3)</f>
        <v>450000</v>
      </c>
      <c r="Q87" s="101"/>
      <c r="R87" s="101"/>
      <c r="S87" s="101"/>
      <c r="T87" s="140"/>
    </row>
    <row r="88" spans="1:20" s="916" customFormat="1" ht="15" customHeight="1">
      <c r="A88" s="134"/>
      <c r="B88" s="89"/>
      <c r="C88" s="90"/>
      <c r="D88" s="89"/>
      <c r="E88" s="90"/>
      <c r="F88" s="231" t="s">
        <v>2754</v>
      </c>
      <c r="G88" s="121">
        <v>300000</v>
      </c>
      <c r="H88" s="106" t="s">
        <v>282</v>
      </c>
      <c r="I88" s="142">
        <v>1</v>
      </c>
      <c r="J88" s="106"/>
      <c r="K88" s="108"/>
      <c r="L88" s="109"/>
      <c r="M88" s="108"/>
      <c r="N88" s="110"/>
      <c r="O88" s="110" t="s">
        <v>281</v>
      </c>
      <c r="P88" s="111">
        <f>ROUNDUP(G88*I88,-3)</f>
        <v>300000</v>
      </c>
      <c r="Q88" s="101"/>
      <c r="R88" s="101"/>
      <c r="S88" s="101"/>
      <c r="T88" s="140"/>
    </row>
    <row r="89" spans="1:20" s="916" customFormat="1" ht="15" customHeight="1">
      <c r="A89" s="134"/>
      <c r="B89" s="89"/>
      <c r="C89" s="90"/>
      <c r="D89" s="89"/>
      <c r="E89" s="90"/>
      <c r="F89" s="231" t="s">
        <v>2755</v>
      </c>
      <c r="G89" s="121">
        <v>400000</v>
      </c>
      <c r="H89" s="106" t="s">
        <v>282</v>
      </c>
      <c r="I89" s="142">
        <v>1</v>
      </c>
      <c r="J89" s="106"/>
      <c r="K89" s="108"/>
      <c r="L89" s="109"/>
      <c r="M89" s="108"/>
      <c r="N89" s="110"/>
      <c r="O89" s="110" t="s">
        <v>281</v>
      </c>
      <c r="P89" s="111">
        <f>ROUNDUP(G89*I89,-3)</f>
        <v>400000</v>
      </c>
      <c r="Q89" s="101"/>
      <c r="R89" s="101"/>
      <c r="S89" s="101"/>
      <c r="T89" s="140"/>
    </row>
    <row r="90" spans="1:20" s="916" customFormat="1" ht="15" customHeight="1">
      <c r="A90" s="134"/>
      <c r="B90" s="89"/>
      <c r="C90" s="90"/>
      <c r="D90" s="89"/>
      <c r="E90" s="90"/>
      <c r="F90" s="231" t="s">
        <v>2747</v>
      </c>
      <c r="G90" s="97"/>
      <c r="H90" s="90"/>
      <c r="I90" s="156"/>
      <c r="J90" s="90"/>
      <c r="K90" s="90"/>
      <c r="L90" s="98"/>
      <c r="M90" s="90"/>
      <c r="N90" s="99"/>
      <c r="O90" s="99"/>
      <c r="P90" s="100">
        <f>SUM(P91:P92)</f>
        <v>480000</v>
      </c>
      <c r="Q90" s="101"/>
      <c r="R90" s="101"/>
      <c r="S90" s="101"/>
      <c r="T90" s="140"/>
    </row>
    <row r="91" spans="1:20" s="916" customFormat="1" ht="15" customHeight="1">
      <c r="A91" s="134"/>
      <c r="B91" s="89"/>
      <c r="C91" s="90"/>
      <c r="D91" s="89"/>
      <c r="E91" s="90"/>
      <c r="F91" s="231" t="s">
        <v>2756</v>
      </c>
      <c r="G91" s="121">
        <v>2000</v>
      </c>
      <c r="H91" s="106" t="s">
        <v>282</v>
      </c>
      <c r="I91" s="107">
        <v>10</v>
      </c>
      <c r="J91" s="106" t="s">
        <v>282</v>
      </c>
      <c r="K91" s="142">
        <v>8</v>
      </c>
      <c r="L91" s="109"/>
      <c r="M91" s="108"/>
      <c r="N91" s="110"/>
      <c r="O91" s="110" t="s">
        <v>281</v>
      </c>
      <c r="P91" s="111">
        <f>ROUNDUP(G91*I91*K91,-3)</f>
        <v>160000</v>
      </c>
      <c r="Q91" s="101"/>
      <c r="R91" s="101"/>
      <c r="S91" s="101"/>
      <c r="T91" s="140"/>
    </row>
    <row r="92" spans="1:20" s="916" customFormat="1" ht="15" customHeight="1">
      <c r="A92" s="134"/>
      <c r="B92" s="89"/>
      <c r="C92" s="90"/>
      <c r="D92" s="89"/>
      <c r="E92" s="90"/>
      <c r="F92" s="231" t="s">
        <v>2757</v>
      </c>
      <c r="G92" s="121">
        <v>80000</v>
      </c>
      <c r="H92" s="106" t="s">
        <v>282</v>
      </c>
      <c r="I92" s="127">
        <v>1</v>
      </c>
      <c r="J92" s="106" t="s">
        <v>282</v>
      </c>
      <c r="K92" s="107">
        <v>4</v>
      </c>
      <c r="L92" s="109"/>
      <c r="M92" s="108"/>
      <c r="N92" s="110"/>
      <c r="O92" s="110" t="s">
        <v>281</v>
      </c>
      <c r="P92" s="111">
        <f>ROUNDUP(G92*I92*K92,-3)</f>
        <v>320000</v>
      </c>
      <c r="Q92" s="101"/>
      <c r="R92" s="101"/>
      <c r="S92" s="101"/>
      <c r="T92" s="140"/>
    </row>
    <row r="93" spans="1:20" s="916" customFormat="1" ht="15" customHeight="1">
      <c r="A93" s="134"/>
      <c r="B93" s="89"/>
      <c r="C93" s="90"/>
      <c r="D93" s="89"/>
      <c r="E93" s="90"/>
      <c r="F93" s="231" t="s">
        <v>2748</v>
      </c>
      <c r="G93" s="97"/>
      <c r="H93" s="90"/>
      <c r="I93" s="156"/>
      <c r="J93" s="90"/>
      <c r="K93" s="90"/>
      <c r="L93" s="98"/>
      <c r="M93" s="90"/>
      <c r="N93" s="99"/>
      <c r="O93" s="99"/>
      <c r="P93" s="100">
        <f>SUM(P94)</f>
        <v>1120000</v>
      </c>
      <c r="Q93" s="101"/>
      <c r="R93" s="101"/>
      <c r="S93" s="101"/>
      <c r="T93" s="140"/>
    </row>
    <row r="94" spans="1:20" s="916" customFormat="1" ht="15" customHeight="1">
      <c r="A94" s="134"/>
      <c r="B94" s="89"/>
      <c r="C94" s="90"/>
      <c r="D94" s="89"/>
      <c r="E94" s="90"/>
      <c r="F94" s="231" t="s">
        <v>2756</v>
      </c>
      <c r="G94" s="121">
        <v>2000</v>
      </c>
      <c r="H94" s="106" t="s">
        <v>282</v>
      </c>
      <c r="I94" s="107">
        <v>560</v>
      </c>
      <c r="J94" s="106"/>
      <c r="K94" s="142"/>
      <c r="L94" s="109"/>
      <c r="M94" s="108"/>
      <c r="N94" s="110"/>
      <c r="O94" s="110" t="s">
        <v>281</v>
      </c>
      <c r="P94" s="111">
        <f>ROUNDUP(G94*I94,-3)</f>
        <v>1120000</v>
      </c>
      <c r="Q94" s="101"/>
      <c r="R94" s="101"/>
      <c r="S94" s="101"/>
      <c r="T94" s="140"/>
    </row>
    <row r="95" spans="1:20" s="916" customFormat="1" ht="15" customHeight="1">
      <c r="A95" s="134"/>
      <c r="B95" s="89"/>
      <c r="C95" s="90"/>
      <c r="D95" s="89"/>
      <c r="E95" s="90"/>
      <c r="F95" s="231" t="s">
        <v>2749</v>
      </c>
      <c r="G95" s="97"/>
      <c r="H95" s="90"/>
      <c r="I95" s="156"/>
      <c r="J95" s="90"/>
      <c r="K95" s="90"/>
      <c r="L95" s="98"/>
      <c r="M95" s="90"/>
      <c r="N95" s="99"/>
      <c r="O95" s="99"/>
      <c r="P95" s="100">
        <f>SUM(P96)</f>
        <v>320000</v>
      </c>
      <c r="Q95" s="101"/>
      <c r="R95" s="101"/>
      <c r="S95" s="101"/>
      <c r="T95" s="140"/>
    </row>
    <row r="96" spans="1:20" s="916" customFormat="1" ht="15" customHeight="1">
      <c r="A96" s="134"/>
      <c r="B96" s="89"/>
      <c r="C96" s="90"/>
      <c r="D96" s="89"/>
      <c r="E96" s="90"/>
      <c r="F96" s="231" t="s">
        <v>2756</v>
      </c>
      <c r="G96" s="121">
        <v>20000</v>
      </c>
      <c r="H96" s="106" t="s">
        <v>282</v>
      </c>
      <c r="I96" s="107">
        <v>8</v>
      </c>
      <c r="J96" s="106" t="s">
        <v>282</v>
      </c>
      <c r="K96" s="1863">
        <v>2</v>
      </c>
      <c r="L96" s="109"/>
      <c r="M96" s="108"/>
      <c r="N96" s="110"/>
      <c r="O96" s="110" t="s">
        <v>281</v>
      </c>
      <c r="P96" s="111">
        <f>ROUNDUP(G96*I96*K96,-3)</f>
        <v>320000</v>
      </c>
      <c r="Q96" s="101"/>
      <c r="R96" s="101"/>
      <c r="S96" s="101"/>
      <c r="T96" s="140"/>
    </row>
    <row r="97" spans="1:23" s="916" customFormat="1" ht="15" customHeight="1">
      <c r="A97" s="134"/>
      <c r="B97" s="89"/>
      <c r="C97" s="90"/>
      <c r="D97" s="89"/>
      <c r="E97" s="90"/>
      <c r="F97" s="231" t="s">
        <v>2750</v>
      </c>
      <c r="G97" s="97"/>
      <c r="H97" s="90"/>
      <c r="I97" s="156"/>
      <c r="J97" s="90"/>
      <c r="K97" s="90"/>
      <c r="L97" s="98"/>
      <c r="M97" s="90"/>
      <c r="N97" s="99"/>
      <c r="O97" s="99"/>
      <c r="P97" s="100">
        <f>SUM(P98)</f>
        <v>660000</v>
      </c>
      <c r="Q97" s="101"/>
      <c r="R97" s="101"/>
      <c r="S97" s="101"/>
      <c r="T97" s="140"/>
    </row>
    <row r="98" spans="1:23" s="916" customFormat="1" ht="15" customHeight="1">
      <c r="A98" s="134"/>
      <c r="B98" s="89"/>
      <c r="C98" s="90"/>
      <c r="D98" s="89"/>
      <c r="E98" s="90"/>
      <c r="F98" s="231" t="s">
        <v>2756</v>
      </c>
      <c r="G98" s="121">
        <v>1100</v>
      </c>
      <c r="H98" s="106" t="s">
        <v>282</v>
      </c>
      <c r="I98" s="107">
        <v>600</v>
      </c>
      <c r="J98" s="106"/>
      <c r="K98" s="1863"/>
      <c r="L98" s="109"/>
      <c r="M98" s="108"/>
      <c r="N98" s="110"/>
      <c r="O98" s="110" t="s">
        <v>281</v>
      </c>
      <c r="P98" s="111">
        <f>ROUNDUP(G98*I98,-3)</f>
        <v>660000</v>
      </c>
      <c r="Q98" s="101"/>
      <c r="R98" s="101"/>
      <c r="S98" s="101"/>
      <c r="T98" s="140"/>
    </row>
    <row r="99" spans="1:23" ht="15" customHeight="1">
      <c r="A99" s="88"/>
      <c r="B99" s="81"/>
      <c r="C99" s="174" t="s">
        <v>1017</v>
      </c>
      <c r="D99" s="173"/>
      <c r="E99" s="174"/>
      <c r="F99" s="175"/>
      <c r="G99" s="176"/>
      <c r="H99" s="174"/>
      <c r="I99" s="174"/>
      <c r="J99" s="174"/>
      <c r="K99" s="174"/>
      <c r="L99" s="177"/>
      <c r="M99" s="174"/>
      <c r="N99" s="67"/>
      <c r="O99" s="67"/>
      <c r="P99" s="174"/>
      <c r="Q99" s="178">
        <f>+Q100</f>
        <v>1480000</v>
      </c>
      <c r="R99" s="178">
        <f>R100</f>
        <v>1400000</v>
      </c>
      <c r="S99" s="178">
        <f>Q99-R99</f>
        <v>80000</v>
      </c>
      <c r="T99" s="179">
        <f t="shared" ref="T99:T101" si="5">S99/R99</f>
        <v>5.7142857142857141E-2</v>
      </c>
      <c r="W99" s="944"/>
    </row>
    <row r="100" spans="1:23" s="916" customFormat="1" ht="15" customHeight="1">
      <c r="A100" s="134"/>
      <c r="B100" s="81"/>
      <c r="C100" s="82"/>
      <c r="D100" s="394" t="s">
        <v>534</v>
      </c>
      <c r="E100" s="84"/>
      <c r="F100" s="85"/>
      <c r="G100" s="86"/>
      <c r="H100" s="84"/>
      <c r="I100" s="84"/>
      <c r="J100" s="84"/>
      <c r="K100" s="84"/>
      <c r="L100" s="83"/>
      <c r="M100" s="84"/>
      <c r="N100" s="87"/>
      <c r="O100" s="87"/>
      <c r="P100" s="84"/>
      <c r="Q100" s="76">
        <f>+Q101</f>
        <v>1480000</v>
      </c>
      <c r="R100" s="76">
        <f>R101</f>
        <v>1400000</v>
      </c>
      <c r="S100" s="76">
        <f>Q100-R100</f>
        <v>80000</v>
      </c>
      <c r="T100" s="77">
        <f t="shared" si="5"/>
        <v>5.7142857142857141E-2</v>
      </c>
    </row>
    <row r="101" spans="1:23" ht="15" customHeight="1">
      <c r="A101" s="88"/>
      <c r="B101" s="89"/>
      <c r="C101" s="90"/>
      <c r="D101" s="170"/>
      <c r="E101" s="510" t="s">
        <v>535</v>
      </c>
      <c r="F101" s="92"/>
      <c r="G101" s="93"/>
      <c r="H101" s="91"/>
      <c r="I101" s="91"/>
      <c r="J101" s="91"/>
      <c r="K101" s="91"/>
      <c r="L101" s="94"/>
      <c r="M101" s="91"/>
      <c r="N101" s="95"/>
      <c r="O101" s="95"/>
      <c r="P101" s="91"/>
      <c r="Q101" s="171">
        <f>+P102</f>
        <v>1480000</v>
      </c>
      <c r="R101" s="171">
        <v>1400000</v>
      </c>
      <c r="S101" s="171">
        <f>Q101-R101</f>
        <v>80000</v>
      </c>
      <c r="T101" s="172">
        <f t="shared" si="5"/>
        <v>5.7142857142857141E-2</v>
      </c>
    </row>
    <row r="102" spans="1:23" s="916" customFormat="1" ht="15" customHeight="1">
      <c r="A102" s="134"/>
      <c r="B102" s="89"/>
      <c r="C102" s="90"/>
      <c r="D102" s="89"/>
      <c r="E102" s="90"/>
      <c r="F102" s="96" t="s">
        <v>1018</v>
      </c>
      <c r="G102" s="97"/>
      <c r="H102" s="90"/>
      <c r="I102" s="90"/>
      <c r="J102" s="90"/>
      <c r="K102" s="90"/>
      <c r="L102" s="98"/>
      <c r="M102" s="90"/>
      <c r="N102" s="99"/>
      <c r="O102" s="99"/>
      <c r="P102" s="100">
        <f>SUM(P103:P105)</f>
        <v>1480000</v>
      </c>
      <c r="Q102" s="101"/>
      <c r="R102" s="141"/>
      <c r="S102" s="101"/>
      <c r="T102" s="140"/>
      <c r="W102" s="1579"/>
    </row>
    <row r="103" spans="1:23" s="916" customFormat="1" ht="15" customHeight="1">
      <c r="A103" s="134"/>
      <c r="B103" s="89"/>
      <c r="C103" s="90"/>
      <c r="D103" s="89"/>
      <c r="E103" s="90"/>
      <c r="F103" s="126" t="s">
        <v>1019</v>
      </c>
      <c r="G103" s="97">
        <v>400000</v>
      </c>
      <c r="H103" s="90" t="s">
        <v>282</v>
      </c>
      <c r="I103" s="107">
        <v>1</v>
      </c>
      <c r="J103" s="90"/>
      <c r="K103" s="90"/>
      <c r="L103" s="98"/>
      <c r="M103" s="90"/>
      <c r="N103" s="99"/>
      <c r="O103" s="99" t="s">
        <v>281</v>
      </c>
      <c r="P103" s="139">
        <f>ROUND(G103*I103,-1)</f>
        <v>400000</v>
      </c>
      <c r="Q103" s="101"/>
      <c r="R103" s="101"/>
      <c r="S103" s="101"/>
      <c r="T103" s="140"/>
    </row>
    <row r="104" spans="1:23" s="916" customFormat="1" ht="15" customHeight="1">
      <c r="A104" s="134"/>
      <c r="B104" s="89"/>
      <c r="C104" s="90"/>
      <c r="D104" s="89"/>
      <c r="E104" s="90"/>
      <c r="F104" s="126" t="s">
        <v>740</v>
      </c>
      <c r="G104" s="97">
        <v>1000000</v>
      </c>
      <c r="H104" s="90" t="s">
        <v>282</v>
      </c>
      <c r="I104" s="107">
        <v>1</v>
      </c>
      <c r="J104" s="90"/>
      <c r="K104" s="90"/>
      <c r="L104" s="98"/>
      <c r="M104" s="90"/>
      <c r="N104" s="99"/>
      <c r="O104" s="99" t="s">
        <v>274</v>
      </c>
      <c r="P104" s="139">
        <f>ROUND(G104*I104,-1)</f>
        <v>1000000</v>
      </c>
      <c r="Q104" s="101"/>
      <c r="R104" s="101"/>
      <c r="S104" s="101"/>
      <c r="T104" s="140"/>
    </row>
    <row r="105" spans="1:23" s="916" customFormat="1" ht="15" customHeight="1">
      <c r="A105" s="134"/>
      <c r="B105" s="89"/>
      <c r="C105" s="90"/>
      <c r="D105" s="89"/>
      <c r="E105" s="90"/>
      <c r="F105" s="126" t="s">
        <v>1020</v>
      </c>
      <c r="G105" s="97">
        <v>80000</v>
      </c>
      <c r="H105" s="90" t="s">
        <v>273</v>
      </c>
      <c r="I105" s="107">
        <v>1</v>
      </c>
      <c r="J105" s="90"/>
      <c r="K105" s="90"/>
      <c r="L105" s="98"/>
      <c r="M105" s="90"/>
      <c r="N105" s="99"/>
      <c r="O105" s="99" t="s">
        <v>274</v>
      </c>
      <c r="P105" s="139">
        <f>ROUND(G105*I105,-1)</f>
        <v>80000</v>
      </c>
      <c r="Q105" s="101"/>
      <c r="R105" s="101"/>
      <c r="S105" s="101"/>
      <c r="T105" s="140"/>
    </row>
    <row r="106" spans="1:23" s="196" customFormat="1" ht="15" customHeight="1">
      <c r="A106" s="224"/>
      <c r="B106" s="225"/>
      <c r="C106" s="266" t="s">
        <v>1406</v>
      </c>
      <c r="D106" s="214"/>
      <c r="E106" s="214"/>
      <c r="F106" s="215"/>
      <c r="G106" s="216"/>
      <c r="H106" s="217"/>
      <c r="I106" s="217"/>
      <c r="J106" s="217"/>
      <c r="K106" s="217"/>
      <c r="L106" s="218"/>
      <c r="M106" s="217"/>
      <c r="N106" s="219"/>
      <c r="O106" s="219"/>
      <c r="P106" s="217"/>
      <c r="Q106" s="220">
        <f>Q107</f>
        <v>20000</v>
      </c>
      <c r="R106" s="220">
        <f>R107</f>
        <v>0</v>
      </c>
      <c r="S106" s="220">
        <f>Q106-R106</f>
        <v>20000</v>
      </c>
      <c r="T106" s="221">
        <v>1</v>
      </c>
    </row>
    <row r="107" spans="1:23" s="196" customFormat="1" ht="15" customHeight="1">
      <c r="A107" s="224"/>
      <c r="B107" s="225"/>
      <c r="C107" s="222"/>
      <c r="D107" s="394" t="s">
        <v>1405</v>
      </c>
      <c r="E107" s="84"/>
      <c r="F107" s="85"/>
      <c r="G107" s="86"/>
      <c r="H107" s="84"/>
      <c r="I107" s="84"/>
      <c r="J107" s="84"/>
      <c r="K107" s="84"/>
      <c r="L107" s="83"/>
      <c r="M107" s="84"/>
      <c r="N107" s="87"/>
      <c r="O107" s="87"/>
      <c r="P107" s="84"/>
      <c r="Q107" s="76">
        <f>Q108</f>
        <v>20000</v>
      </c>
      <c r="R107" s="76">
        <f>R108</f>
        <v>0</v>
      </c>
      <c r="S107" s="76">
        <f>Q107-R107</f>
        <v>20000</v>
      </c>
      <c r="T107" s="77">
        <v>1</v>
      </c>
    </row>
    <row r="108" spans="1:23" s="196" customFormat="1" ht="15" customHeight="1">
      <c r="A108" s="224"/>
      <c r="B108" s="225"/>
      <c r="C108" s="222"/>
      <c r="D108" s="222"/>
      <c r="E108" s="66" t="s">
        <v>1643</v>
      </c>
      <c r="F108" s="227"/>
      <c r="G108" s="228"/>
      <c r="H108" s="66"/>
      <c r="I108" s="66"/>
      <c r="J108" s="66"/>
      <c r="K108" s="66"/>
      <c r="L108" s="229"/>
      <c r="M108" s="66"/>
      <c r="N108" s="230"/>
      <c r="O108" s="230"/>
      <c r="P108" s="66"/>
      <c r="Q108" s="171">
        <f>ROUNDUP(P109+P111,-3)</f>
        <v>20000</v>
      </c>
      <c r="R108" s="171">
        <v>0</v>
      </c>
      <c r="S108" s="171">
        <f>Q108-R108</f>
        <v>20000</v>
      </c>
      <c r="T108" s="172">
        <v>1</v>
      </c>
    </row>
    <row r="109" spans="1:23" s="196" customFormat="1" ht="15" customHeight="1">
      <c r="A109" s="224"/>
      <c r="B109" s="225"/>
      <c r="C109" s="222"/>
      <c r="D109" s="222"/>
      <c r="E109" s="1037"/>
      <c r="F109" s="240" t="s">
        <v>1640</v>
      </c>
      <c r="G109" s="249"/>
      <c r="H109" s="240"/>
      <c r="I109" s="240"/>
      <c r="J109" s="240"/>
      <c r="K109" s="240"/>
      <c r="L109" s="240"/>
      <c r="M109" s="240"/>
      <c r="N109" s="244"/>
      <c r="O109" s="251"/>
      <c r="P109" s="251">
        <f>P110</f>
        <v>10000</v>
      </c>
      <c r="Q109" s="428"/>
      <c r="R109" s="428"/>
      <c r="S109" s="428"/>
      <c r="T109" s="429"/>
    </row>
    <row r="110" spans="1:23" s="196" customFormat="1" ht="15" customHeight="1">
      <c r="A110" s="224"/>
      <c r="B110" s="225"/>
      <c r="C110" s="222"/>
      <c r="D110" s="222"/>
      <c r="E110" s="223"/>
      <c r="F110" s="998" t="s">
        <v>928</v>
      </c>
      <c r="G110" s="252">
        <v>10000</v>
      </c>
      <c r="H110" s="240" t="s">
        <v>273</v>
      </c>
      <c r="I110" s="999">
        <v>1</v>
      </c>
      <c r="J110" s="240"/>
      <c r="K110" s="242"/>
      <c r="L110" s="240"/>
      <c r="M110" s="240"/>
      <c r="N110" s="244"/>
      <c r="O110" s="244" t="s">
        <v>925</v>
      </c>
      <c r="P110" s="245">
        <f>G110*I110</f>
        <v>10000</v>
      </c>
      <c r="Q110" s="1535"/>
      <c r="R110" s="1535"/>
      <c r="S110" s="1535"/>
      <c r="T110" s="1536"/>
    </row>
    <row r="111" spans="1:23" s="196" customFormat="1" ht="15" customHeight="1">
      <c r="A111" s="224"/>
      <c r="B111" s="225"/>
      <c r="C111" s="222"/>
      <c r="D111" s="222"/>
      <c r="E111" s="1126"/>
      <c r="F111" s="240" t="s">
        <v>1641</v>
      </c>
      <c r="G111" s="252"/>
      <c r="H111" s="240"/>
      <c r="I111" s="999"/>
      <c r="J111" s="240"/>
      <c r="K111" s="242"/>
      <c r="L111" s="240"/>
      <c r="M111" s="240"/>
      <c r="N111" s="244"/>
      <c r="O111" s="244"/>
      <c r="P111" s="251">
        <f>P112</f>
        <v>10000</v>
      </c>
      <c r="Q111" s="1535"/>
      <c r="R111" s="1535"/>
      <c r="S111" s="1535"/>
      <c r="T111" s="1536"/>
    </row>
    <row r="112" spans="1:23" s="196" customFormat="1" ht="15" customHeight="1">
      <c r="A112" s="224"/>
      <c r="B112" s="225"/>
      <c r="C112" s="1342"/>
      <c r="D112" s="1342"/>
      <c r="E112" s="206"/>
      <c r="F112" s="1023" t="s">
        <v>1642</v>
      </c>
      <c r="G112" s="579">
        <v>10000</v>
      </c>
      <c r="H112" s="283" t="s">
        <v>273</v>
      </c>
      <c r="I112" s="1563">
        <v>1</v>
      </c>
      <c r="J112" s="283"/>
      <c r="K112" s="284"/>
      <c r="L112" s="283"/>
      <c r="M112" s="283"/>
      <c r="N112" s="285"/>
      <c r="O112" s="1564" t="s">
        <v>110</v>
      </c>
      <c r="P112" s="286">
        <f>G112*I112</f>
        <v>10000</v>
      </c>
      <c r="Q112" s="211"/>
      <c r="R112" s="211"/>
      <c r="S112" s="211"/>
      <c r="T112" s="212"/>
    </row>
    <row r="113" spans="1:22" ht="15" customHeight="1">
      <c r="A113" s="88"/>
      <c r="B113" s="89"/>
      <c r="C113" s="173" t="s">
        <v>470</v>
      </c>
      <c r="D113" s="414"/>
      <c r="E113" s="415"/>
      <c r="F113" s="416"/>
      <c r="G113" s="417"/>
      <c r="H113" s="418"/>
      <c r="I113" s="419"/>
      <c r="J113" s="418"/>
      <c r="K113" s="420"/>
      <c r="L113" s="421"/>
      <c r="M113" s="420"/>
      <c r="N113" s="422"/>
      <c r="O113" s="422"/>
      <c r="P113" s="423"/>
      <c r="Q113" s="178">
        <f>+Q114</f>
        <v>0</v>
      </c>
      <c r="R113" s="178">
        <f>R114</f>
        <v>2010000</v>
      </c>
      <c r="S113" s="178">
        <f>Q113-R113</f>
        <v>-2010000</v>
      </c>
      <c r="T113" s="179">
        <f t="shared" ref="T113:T115" si="6">S113/R113</f>
        <v>-1</v>
      </c>
    </row>
    <row r="114" spans="1:22" s="916" customFormat="1" ht="15" customHeight="1">
      <c r="A114" s="134"/>
      <c r="B114" s="89"/>
      <c r="C114" s="180"/>
      <c r="D114" s="554" t="s">
        <v>950</v>
      </c>
      <c r="E114" s="84"/>
      <c r="F114" s="555"/>
      <c r="G114" s="556"/>
      <c r="H114" s="557"/>
      <c r="I114" s="557"/>
      <c r="J114" s="557"/>
      <c r="K114" s="557"/>
      <c r="L114" s="558"/>
      <c r="M114" s="557"/>
      <c r="N114" s="559"/>
      <c r="O114" s="559"/>
      <c r="P114" s="557"/>
      <c r="Q114" s="560">
        <f>+Q115</f>
        <v>0</v>
      </c>
      <c r="R114" s="560">
        <f>R115</f>
        <v>2010000</v>
      </c>
      <c r="S114" s="76">
        <f>Q114-R114</f>
        <v>-2010000</v>
      </c>
      <c r="T114" s="77">
        <f t="shared" si="6"/>
        <v>-1</v>
      </c>
    </row>
    <row r="115" spans="1:22" ht="15" customHeight="1" thickBot="1">
      <c r="A115" s="189"/>
      <c r="B115" s="190"/>
      <c r="C115" s="191"/>
      <c r="D115" s="405"/>
      <c r="E115" s="553" t="s">
        <v>472</v>
      </c>
      <c r="F115" s="407"/>
      <c r="G115" s="408"/>
      <c r="H115" s="406"/>
      <c r="I115" s="406"/>
      <c r="J115" s="406"/>
      <c r="K115" s="406"/>
      <c r="L115" s="409"/>
      <c r="M115" s="406"/>
      <c r="N115" s="410"/>
      <c r="O115" s="410"/>
      <c r="P115" s="406"/>
      <c r="Q115" s="411">
        <v>0</v>
      </c>
      <c r="R115" s="411">
        <v>2010000</v>
      </c>
      <c r="S115" s="412">
        <f>Q115-R115</f>
        <v>-2010000</v>
      </c>
      <c r="T115" s="413">
        <f t="shared" si="6"/>
        <v>-1</v>
      </c>
    </row>
    <row r="116" spans="1:22">
      <c r="V116" s="945"/>
    </row>
  </sheetData>
  <mergeCells count="14">
    <mergeCell ref="I43:J43"/>
    <mergeCell ref="A1:T1"/>
    <mergeCell ref="S2:T2"/>
    <mergeCell ref="A3:E3"/>
    <mergeCell ref="G3:P4"/>
    <mergeCell ref="Q3:Q4"/>
    <mergeCell ref="R3:R4"/>
    <mergeCell ref="S3:S4"/>
    <mergeCell ref="T3:T4"/>
    <mergeCell ref="I35:J35"/>
    <mergeCell ref="I39:J39"/>
    <mergeCell ref="I40:J40"/>
    <mergeCell ref="I41:J41"/>
    <mergeCell ref="I42:J42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scale="75" firstPageNumber="73" fitToHeight="0" orientation="landscape" useFirstPageNumber="1" horizontalDpi="4294967293" r:id="rId1"/>
  <headerFooter scaleWithDoc="0" alignWithMargins="0">
    <oddFooter>&amp;C&amp;P</oddFooter>
  </headerFooter>
  <rowBreaks count="2" manualBreakCount="2">
    <brk id="43" max="19" man="1"/>
    <brk id="79" max="19" man="1"/>
  </rowBreaks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3399FF"/>
    <pageSetUpPr fitToPage="1"/>
  </sheetPr>
  <dimension ref="A1:AA278"/>
  <sheetViews>
    <sheetView view="pageBreakPreview" zoomScale="85" zoomScaleNormal="85" zoomScaleSheetLayoutView="85" workbookViewId="0">
      <pane ySplit="8" topLeftCell="A209" activePane="bottomLeft" state="frozen"/>
      <selection activeCell="V20" sqref="V20"/>
      <selection pane="bottomLeft" activeCell="V20" sqref="V20"/>
    </sheetView>
  </sheetViews>
  <sheetFormatPr defaultColWidth="9" defaultRowHeight="13.5"/>
  <cols>
    <col min="1" max="1" width="3.625" style="196" customWidth="1"/>
    <col min="2" max="4" width="3.625" style="193" customWidth="1"/>
    <col min="5" max="5" width="10.625" style="193" customWidth="1"/>
    <col min="6" max="6" width="37.5" style="194" bestFit="1" customWidth="1"/>
    <col min="7" max="7" width="12.5" style="195" bestFit="1" customWidth="1"/>
    <col min="8" max="8" width="2.125" style="196" customWidth="1"/>
    <col min="9" max="9" width="5" style="196" customWidth="1"/>
    <col min="10" max="10" width="2.125" style="196" customWidth="1"/>
    <col min="11" max="11" width="5.875" style="196" customWidth="1"/>
    <col min="12" max="12" width="2.625" style="197" customWidth="1"/>
    <col min="13" max="13" width="5.375" style="196" customWidth="1"/>
    <col min="14" max="14" width="2.75" style="198" customWidth="1"/>
    <col min="15" max="15" width="2.625" style="198" customWidth="1"/>
    <col min="16" max="16" width="13.625" style="196" customWidth="1"/>
    <col min="17" max="17" width="10.625" style="199" customWidth="1"/>
    <col min="18" max="19" width="10.625" style="200" customWidth="1"/>
    <col min="20" max="20" width="10.625" style="289" customWidth="1"/>
    <col min="21" max="21" width="12.5" style="196" customWidth="1"/>
    <col min="22" max="22" width="11.5" style="196" bestFit="1" customWidth="1"/>
    <col min="23" max="25" width="12.75" style="196" bestFit="1" customWidth="1"/>
    <col min="26" max="26" width="9" style="196"/>
    <col min="27" max="27" width="10.875" style="196" bestFit="1" customWidth="1"/>
    <col min="28" max="16384" width="9" style="196"/>
  </cols>
  <sheetData>
    <row r="1" spans="1:24" s="192" customFormat="1" ht="35.1" customHeight="1">
      <c r="A1" s="1968" t="s">
        <v>1912</v>
      </c>
      <c r="B1" s="1968"/>
      <c r="C1" s="1968"/>
      <c r="D1" s="1968"/>
      <c r="E1" s="1968"/>
      <c r="F1" s="1968"/>
      <c r="G1" s="1968"/>
      <c r="H1" s="1968"/>
      <c r="I1" s="1968"/>
      <c r="J1" s="1968"/>
      <c r="K1" s="1968"/>
      <c r="L1" s="1968"/>
      <c r="M1" s="1968"/>
      <c r="N1" s="1968"/>
      <c r="O1" s="1968"/>
      <c r="P1" s="1968"/>
      <c r="Q1" s="1968"/>
      <c r="R1" s="1968"/>
      <c r="S1" s="1968"/>
      <c r="T1" s="1968"/>
    </row>
    <row r="2" spans="1:24" ht="15" customHeight="1" thickBot="1">
      <c r="A2" s="192" t="s">
        <v>1913</v>
      </c>
      <c r="S2" s="1969" t="s">
        <v>1914</v>
      </c>
      <c r="T2" s="1969"/>
    </row>
    <row r="3" spans="1:24" s="201" customFormat="1" ht="15" customHeight="1">
      <c r="A3" s="1990" t="s">
        <v>91</v>
      </c>
      <c r="B3" s="1939"/>
      <c r="C3" s="1939"/>
      <c r="D3" s="1939"/>
      <c r="E3" s="1939"/>
      <c r="F3" s="1753"/>
      <c r="G3" s="1940" t="s">
        <v>92</v>
      </c>
      <c r="H3" s="1940"/>
      <c r="I3" s="1940"/>
      <c r="J3" s="1940"/>
      <c r="K3" s="1940"/>
      <c r="L3" s="1940"/>
      <c r="M3" s="1940"/>
      <c r="N3" s="1940"/>
      <c r="O3" s="1940"/>
      <c r="P3" s="1941"/>
      <c r="Q3" s="1944" t="s">
        <v>93</v>
      </c>
      <c r="R3" s="1946" t="s">
        <v>94</v>
      </c>
      <c r="S3" s="1948" t="s">
        <v>95</v>
      </c>
      <c r="T3" s="1950" t="s">
        <v>96</v>
      </c>
    </row>
    <row r="4" spans="1:24" s="201" customFormat="1" ht="15" customHeight="1" thickBot="1">
      <c r="A4" s="1742" t="s">
        <v>97</v>
      </c>
      <c r="B4" s="1743" t="s">
        <v>98</v>
      </c>
      <c r="C4" s="1743" t="s">
        <v>99</v>
      </c>
      <c r="D4" s="1743" t="s">
        <v>100</v>
      </c>
      <c r="E4" s="1743" t="s">
        <v>101</v>
      </c>
      <c r="F4" s="1754" t="s">
        <v>102</v>
      </c>
      <c r="G4" s="1942"/>
      <c r="H4" s="1942"/>
      <c r="I4" s="1942"/>
      <c r="J4" s="1942"/>
      <c r="K4" s="1942"/>
      <c r="L4" s="1942"/>
      <c r="M4" s="1942"/>
      <c r="N4" s="1942"/>
      <c r="O4" s="1942"/>
      <c r="P4" s="1943"/>
      <c r="Q4" s="1945"/>
      <c r="R4" s="1947"/>
      <c r="S4" s="1949"/>
      <c r="T4" s="1951"/>
    </row>
    <row r="5" spans="1:24" s="192" customFormat="1" ht="15" customHeight="1" thickBot="1">
      <c r="A5" s="68" t="s">
        <v>1915</v>
      </c>
      <c r="B5" s="69"/>
      <c r="C5" s="69"/>
      <c r="D5" s="69"/>
      <c r="E5" s="69"/>
      <c r="F5" s="70"/>
      <c r="G5" s="71"/>
      <c r="H5" s="72"/>
      <c r="I5" s="72"/>
      <c r="J5" s="72"/>
      <c r="K5" s="72"/>
      <c r="L5" s="73"/>
      <c r="M5" s="72"/>
      <c r="N5" s="74"/>
      <c r="O5" s="74"/>
      <c r="P5" s="72"/>
      <c r="Q5" s="75">
        <f>Q6</f>
        <v>1775783000</v>
      </c>
      <c r="R5" s="75">
        <f>R6</f>
        <v>0</v>
      </c>
      <c r="S5" s="75">
        <f>Q5-R5</f>
        <v>1775783000</v>
      </c>
      <c r="T5" s="203">
        <v>1</v>
      </c>
      <c r="V5" s="192">
        <v>1775783000</v>
      </c>
      <c r="X5" s="989">
        <f>Q5-V5</f>
        <v>0</v>
      </c>
    </row>
    <row r="6" spans="1:24" s="192" customFormat="1" ht="15" customHeight="1">
      <c r="A6" s="204"/>
      <c r="B6" s="205" t="s">
        <v>1916</v>
      </c>
      <c r="C6" s="206"/>
      <c r="D6" s="206"/>
      <c r="E6" s="206"/>
      <c r="F6" s="207"/>
      <c r="G6" s="208"/>
      <c r="H6" s="209"/>
      <c r="I6" s="209"/>
      <c r="J6" s="209"/>
      <c r="K6" s="209"/>
      <c r="L6" s="581"/>
      <c r="M6" s="209"/>
      <c r="N6" s="210"/>
      <c r="O6" s="210"/>
      <c r="P6" s="209"/>
      <c r="Q6" s="211">
        <f>Q7+Q134+Q180</f>
        <v>1775783000</v>
      </c>
      <c r="R6" s="211">
        <f>R7+R134+R180</f>
        <v>0</v>
      </c>
      <c r="S6" s="211">
        <f>Q6-R6</f>
        <v>1775783000</v>
      </c>
      <c r="T6" s="212">
        <v>1</v>
      </c>
    </row>
    <row r="7" spans="1:24" s="192" customFormat="1" ht="15" customHeight="1">
      <c r="A7" s="204"/>
      <c r="B7" s="213"/>
      <c r="C7" s="214" t="s">
        <v>1917</v>
      </c>
      <c r="D7" s="214"/>
      <c r="E7" s="214"/>
      <c r="F7" s="215"/>
      <c r="G7" s="216"/>
      <c r="H7" s="217"/>
      <c r="I7" s="217"/>
      <c r="J7" s="217"/>
      <c r="K7" s="217"/>
      <c r="L7" s="218"/>
      <c r="M7" s="217"/>
      <c r="N7" s="219"/>
      <c r="O7" s="219"/>
      <c r="P7" s="217"/>
      <c r="Q7" s="220">
        <f>Q8+Q54</f>
        <v>1100000000</v>
      </c>
      <c r="R7" s="220">
        <f>SUM(R8,R54)</f>
        <v>0</v>
      </c>
      <c r="S7" s="220">
        <f>Q7-R7</f>
        <v>1100000000</v>
      </c>
      <c r="T7" s="221">
        <v>1</v>
      </c>
    </row>
    <row r="8" spans="1:24" s="192" customFormat="1" ht="15" customHeight="1">
      <c r="A8" s="204"/>
      <c r="B8" s="222"/>
      <c r="C8" s="223"/>
      <c r="D8" s="83" t="s">
        <v>1918</v>
      </c>
      <c r="E8" s="84"/>
      <c r="F8" s="85"/>
      <c r="G8" s="86"/>
      <c r="H8" s="84"/>
      <c r="I8" s="84"/>
      <c r="J8" s="84"/>
      <c r="K8" s="84"/>
      <c r="L8" s="83"/>
      <c r="M8" s="84"/>
      <c r="N8" s="87"/>
      <c r="O8" s="87"/>
      <c r="P8" s="84"/>
      <c r="Q8" s="76">
        <f>SUM(Q9:Q53)</f>
        <v>500000000</v>
      </c>
      <c r="R8" s="76">
        <f>SUM(R9,R14,R51)</f>
        <v>0</v>
      </c>
      <c r="S8" s="76">
        <f>Q8-R8</f>
        <v>500000000</v>
      </c>
      <c r="T8" s="77">
        <v>1</v>
      </c>
      <c r="W8" s="1034"/>
    </row>
    <row r="9" spans="1:24" ht="15" customHeight="1">
      <c r="A9" s="224"/>
      <c r="B9" s="225"/>
      <c r="C9" s="226"/>
      <c r="D9" s="225"/>
      <c r="E9" s="66" t="s">
        <v>1919</v>
      </c>
      <c r="F9" s="227"/>
      <c r="G9" s="228"/>
      <c r="H9" s="66"/>
      <c r="I9" s="66"/>
      <c r="J9" s="66"/>
      <c r="K9" s="66"/>
      <c r="L9" s="229"/>
      <c r="M9" s="66"/>
      <c r="N9" s="230"/>
      <c r="O9" s="230"/>
      <c r="P9" s="66"/>
      <c r="Q9" s="171">
        <f>SUM(P10)</f>
        <v>249990000</v>
      </c>
      <c r="R9" s="171">
        <v>0</v>
      </c>
      <c r="S9" s="171">
        <f>Q9-R9</f>
        <v>249990000</v>
      </c>
      <c r="T9" s="172">
        <v>1</v>
      </c>
    </row>
    <row r="10" spans="1:24" ht="15" customHeight="1">
      <c r="A10" s="224"/>
      <c r="B10" s="225"/>
      <c r="C10" s="226"/>
      <c r="D10" s="225"/>
      <c r="E10" s="226"/>
      <c r="F10" s="231" t="s">
        <v>364</v>
      </c>
      <c r="G10" s="232"/>
      <c r="H10" s="226"/>
      <c r="I10" s="226"/>
      <c r="J10" s="226"/>
      <c r="K10" s="226"/>
      <c r="L10" s="1386"/>
      <c r="M10" s="226"/>
      <c r="N10" s="233"/>
      <c r="O10" s="233"/>
      <c r="P10" s="1061">
        <f>SUM(P11:P13)</f>
        <v>249990000</v>
      </c>
      <c r="Q10" s="101"/>
      <c r="R10" s="101"/>
      <c r="S10" s="101"/>
      <c r="T10" s="102"/>
    </row>
    <row r="11" spans="1:24" ht="15" customHeight="1">
      <c r="A11" s="224"/>
      <c r="B11" s="225"/>
      <c r="C11" s="226"/>
      <c r="D11" s="225"/>
      <c r="E11" s="237"/>
      <c r="F11" s="238" t="s">
        <v>1920</v>
      </c>
      <c r="G11" s="239">
        <v>3874000</v>
      </c>
      <c r="H11" s="240" t="s">
        <v>1921</v>
      </c>
      <c r="I11" s="241">
        <v>1</v>
      </c>
      <c r="J11" s="240" t="s">
        <v>109</v>
      </c>
      <c r="K11" s="242">
        <v>10</v>
      </c>
      <c r="L11" s="243"/>
      <c r="M11" s="242"/>
      <c r="N11" s="244"/>
      <c r="O11" s="244" t="s">
        <v>1922</v>
      </c>
      <c r="P11" s="245">
        <f>ROUNDUP(G11*I11*K11,-3)</f>
        <v>38740000</v>
      </c>
      <c r="Q11" s="235"/>
      <c r="R11" s="997"/>
      <c r="S11" s="235"/>
      <c r="T11" s="246"/>
    </row>
    <row r="12" spans="1:24" ht="15" customHeight="1">
      <c r="A12" s="224"/>
      <c r="B12" s="225"/>
      <c r="C12" s="226"/>
      <c r="D12" s="225"/>
      <c r="E12" s="247"/>
      <c r="F12" s="248" t="s">
        <v>1923</v>
      </c>
      <c r="G12" s="239">
        <v>2882500</v>
      </c>
      <c r="H12" s="240" t="s">
        <v>1921</v>
      </c>
      <c r="I12" s="241">
        <v>2</v>
      </c>
      <c r="J12" s="240" t="s">
        <v>109</v>
      </c>
      <c r="K12" s="242">
        <v>10</v>
      </c>
      <c r="L12" s="243"/>
      <c r="M12" s="242"/>
      <c r="N12" s="244"/>
      <c r="O12" s="244" t="s">
        <v>1922</v>
      </c>
      <c r="P12" s="245">
        <f>ROUNDUP(G12*I12*K12,-3)</f>
        <v>57650000</v>
      </c>
      <c r="Q12" s="235"/>
      <c r="R12" s="997"/>
      <c r="S12" s="235"/>
      <c r="T12" s="246"/>
      <c r="W12" s="195"/>
    </row>
    <row r="13" spans="1:24" ht="15" customHeight="1">
      <c r="A13" s="224"/>
      <c r="B13" s="225"/>
      <c r="C13" s="226"/>
      <c r="D13" s="225"/>
      <c r="E13" s="247"/>
      <c r="F13" s="248" t="s">
        <v>1924</v>
      </c>
      <c r="G13" s="239">
        <v>1920000</v>
      </c>
      <c r="H13" s="240" t="s">
        <v>1921</v>
      </c>
      <c r="I13" s="241">
        <v>8</v>
      </c>
      <c r="J13" s="240" t="s">
        <v>109</v>
      </c>
      <c r="K13" s="242">
        <v>10</v>
      </c>
      <c r="L13" s="243"/>
      <c r="M13" s="242"/>
      <c r="N13" s="244"/>
      <c r="O13" s="244" t="s">
        <v>1922</v>
      </c>
      <c r="P13" s="245">
        <f>ROUNDUP(G13*I13*K13,-3)</f>
        <v>153600000</v>
      </c>
      <c r="Q13" s="235"/>
      <c r="R13" s="997"/>
      <c r="S13" s="235"/>
      <c r="T13" s="246"/>
      <c r="W13" s="195"/>
    </row>
    <row r="14" spans="1:24" ht="15" customHeight="1">
      <c r="A14" s="224"/>
      <c r="B14" s="225"/>
      <c r="C14" s="226"/>
      <c r="D14" s="225"/>
      <c r="E14" s="66" t="s">
        <v>1925</v>
      </c>
      <c r="F14" s="227"/>
      <c r="G14" s="228"/>
      <c r="H14" s="66"/>
      <c r="I14" s="66"/>
      <c r="J14" s="66"/>
      <c r="K14" s="66"/>
      <c r="L14" s="229"/>
      <c r="M14" s="66"/>
      <c r="N14" s="230"/>
      <c r="O14" s="230"/>
      <c r="P14" s="66"/>
      <c r="Q14" s="171">
        <f>P15+P19+P23+P25+P27+P29+P38+P42+P33</f>
        <v>135108000</v>
      </c>
      <c r="R14" s="171">
        <v>0</v>
      </c>
      <c r="S14" s="171">
        <f>Q14-R14</f>
        <v>135108000</v>
      </c>
      <c r="T14" s="172">
        <v>1</v>
      </c>
      <c r="W14" s="195"/>
    </row>
    <row r="15" spans="1:24" ht="15" customHeight="1">
      <c r="A15" s="224"/>
      <c r="B15" s="225"/>
      <c r="C15" s="226"/>
      <c r="D15" s="225"/>
      <c r="E15" s="226"/>
      <c r="F15" s="231" t="s">
        <v>1926</v>
      </c>
      <c r="G15" s="1387"/>
      <c r="H15" s="1168"/>
      <c r="I15" s="1168"/>
      <c r="J15" s="1168"/>
      <c r="K15" s="1168"/>
      <c r="L15" s="1389"/>
      <c r="M15" s="1168"/>
      <c r="N15" s="1171"/>
      <c r="O15" s="1171"/>
      <c r="P15" s="1061">
        <f>SUM(P16:P18)</f>
        <v>14050000</v>
      </c>
      <c r="Q15" s="119"/>
      <c r="R15" s="119"/>
      <c r="S15" s="119"/>
      <c r="T15" s="120"/>
    </row>
    <row r="16" spans="1:24" ht="15" customHeight="1">
      <c r="A16" s="224"/>
      <c r="B16" s="225"/>
      <c r="C16" s="226"/>
      <c r="D16" s="225"/>
      <c r="E16" s="237"/>
      <c r="F16" s="238" t="s">
        <v>1927</v>
      </c>
      <c r="G16" s="249">
        <v>155000</v>
      </c>
      <c r="H16" s="240" t="s">
        <v>1880</v>
      </c>
      <c r="I16" s="241">
        <v>1</v>
      </c>
      <c r="J16" s="240" t="s">
        <v>109</v>
      </c>
      <c r="K16" s="242">
        <v>10</v>
      </c>
      <c r="L16" s="240"/>
      <c r="M16" s="240"/>
      <c r="N16" s="240"/>
      <c r="O16" s="244" t="s">
        <v>1922</v>
      </c>
      <c r="P16" s="245">
        <f>ROUNDUP(G16*I16*K16,-3)</f>
        <v>1550000</v>
      </c>
      <c r="Q16" s="235"/>
      <c r="R16" s="997"/>
      <c r="S16" s="235"/>
      <c r="T16" s="246"/>
    </row>
    <row r="17" spans="1:23" ht="15" customHeight="1">
      <c r="A17" s="224"/>
      <c r="B17" s="225"/>
      <c r="C17" s="226"/>
      <c r="D17" s="225"/>
      <c r="E17" s="237"/>
      <c r="F17" s="248" t="s">
        <v>1923</v>
      </c>
      <c r="G17" s="252">
        <v>125000</v>
      </c>
      <c r="H17" s="240" t="s">
        <v>1921</v>
      </c>
      <c r="I17" s="241">
        <v>2</v>
      </c>
      <c r="J17" s="240" t="s">
        <v>109</v>
      </c>
      <c r="K17" s="242">
        <v>10</v>
      </c>
      <c r="L17" s="243"/>
      <c r="M17" s="242"/>
      <c r="N17" s="244"/>
      <c r="O17" s="244" t="s">
        <v>1922</v>
      </c>
      <c r="P17" s="245">
        <f>ROUNDUP(G17*I17*K17,-3)</f>
        <v>2500000</v>
      </c>
      <c r="Q17" s="235"/>
      <c r="R17" s="997"/>
      <c r="S17" s="235"/>
      <c r="T17" s="246"/>
    </row>
    <row r="18" spans="1:23" ht="15" customHeight="1">
      <c r="A18" s="224"/>
      <c r="B18" s="225"/>
      <c r="C18" s="226"/>
      <c r="D18" s="225"/>
      <c r="E18" s="247"/>
      <c r="F18" s="248" t="s">
        <v>1924</v>
      </c>
      <c r="G18" s="252">
        <v>125000</v>
      </c>
      <c r="H18" s="240" t="s">
        <v>1921</v>
      </c>
      <c r="I18" s="241">
        <v>8</v>
      </c>
      <c r="J18" s="240" t="s">
        <v>109</v>
      </c>
      <c r="K18" s="242">
        <v>10</v>
      </c>
      <c r="L18" s="243"/>
      <c r="M18" s="242"/>
      <c r="N18" s="244"/>
      <c r="O18" s="244" t="s">
        <v>1922</v>
      </c>
      <c r="P18" s="245">
        <f>ROUNDUP(G18*I18*K18,-3)</f>
        <v>10000000</v>
      </c>
      <c r="Q18" s="235"/>
      <c r="R18" s="997"/>
      <c r="S18" s="235"/>
      <c r="T18" s="246"/>
    </row>
    <row r="19" spans="1:23" ht="15" customHeight="1">
      <c r="A19" s="224"/>
      <c r="B19" s="225"/>
      <c r="C19" s="226"/>
      <c r="D19" s="225"/>
      <c r="E19" s="237"/>
      <c r="F19" s="231" t="s">
        <v>1928</v>
      </c>
      <c r="G19" s="249"/>
      <c r="H19" s="240"/>
      <c r="I19" s="240"/>
      <c r="J19" s="240"/>
      <c r="K19" s="240"/>
      <c r="L19" s="250"/>
      <c r="M19" s="240"/>
      <c r="N19" s="244"/>
      <c r="O19" s="244"/>
      <c r="P19" s="1061">
        <f>SUM(P20:P22)</f>
        <v>3800000</v>
      </c>
      <c r="Q19" s="235"/>
      <c r="R19" s="997"/>
      <c r="S19" s="235"/>
      <c r="T19" s="246"/>
    </row>
    <row r="20" spans="1:23" ht="15" customHeight="1">
      <c r="A20" s="224"/>
      <c r="B20" s="225"/>
      <c r="C20" s="226"/>
      <c r="D20" s="225"/>
      <c r="E20" s="247"/>
      <c r="F20" s="248" t="s">
        <v>1929</v>
      </c>
      <c r="G20" s="252">
        <v>40000</v>
      </c>
      <c r="H20" s="240" t="s">
        <v>1921</v>
      </c>
      <c r="I20" s="241">
        <v>5</v>
      </c>
      <c r="J20" s="240" t="s">
        <v>109</v>
      </c>
      <c r="K20" s="242">
        <v>10</v>
      </c>
      <c r="L20" s="243"/>
      <c r="M20" s="242"/>
      <c r="N20" s="244"/>
      <c r="O20" s="244" t="s">
        <v>1897</v>
      </c>
      <c r="P20" s="245">
        <f>ROUNDUP(G20*I20*K20,-3)</f>
        <v>2000000</v>
      </c>
      <c r="Q20" s="235"/>
      <c r="R20" s="997"/>
      <c r="S20" s="235"/>
      <c r="T20" s="246"/>
    </row>
    <row r="21" spans="1:23" ht="15" customHeight="1">
      <c r="A21" s="224"/>
      <c r="B21" s="225"/>
      <c r="C21" s="226"/>
      <c r="D21" s="225"/>
      <c r="E21" s="247"/>
      <c r="F21" s="248" t="s">
        <v>1930</v>
      </c>
      <c r="G21" s="252">
        <v>20000</v>
      </c>
      <c r="H21" s="240" t="s">
        <v>282</v>
      </c>
      <c r="I21" s="241">
        <v>3</v>
      </c>
      <c r="J21" s="240" t="s">
        <v>109</v>
      </c>
      <c r="K21" s="242">
        <v>10</v>
      </c>
      <c r="L21" s="243"/>
      <c r="M21" s="242"/>
      <c r="N21" s="244"/>
      <c r="O21" s="244" t="s">
        <v>1922</v>
      </c>
      <c r="P21" s="245">
        <f>ROUNDUP(G21*I21*K21,-3)</f>
        <v>600000</v>
      </c>
      <c r="Q21" s="235"/>
      <c r="R21" s="997"/>
      <c r="S21" s="235"/>
      <c r="T21" s="246"/>
    </row>
    <row r="22" spans="1:23" ht="15" customHeight="1">
      <c r="A22" s="224"/>
      <c r="B22" s="225"/>
      <c r="C22" s="226"/>
      <c r="D22" s="225"/>
      <c r="E22" s="247"/>
      <c r="F22" s="248" t="s">
        <v>1931</v>
      </c>
      <c r="G22" s="252">
        <v>60000</v>
      </c>
      <c r="H22" s="240" t="s">
        <v>1921</v>
      </c>
      <c r="I22" s="241">
        <v>2</v>
      </c>
      <c r="J22" s="240" t="s">
        <v>109</v>
      </c>
      <c r="K22" s="242">
        <v>10</v>
      </c>
      <c r="L22" s="243"/>
      <c r="M22" s="242"/>
      <c r="N22" s="244"/>
      <c r="O22" s="244" t="s">
        <v>281</v>
      </c>
      <c r="P22" s="245">
        <f>ROUNDUP(G22*I22*K22,-3)</f>
        <v>1200000</v>
      </c>
      <c r="Q22" s="235"/>
      <c r="R22" s="997"/>
      <c r="S22" s="235"/>
      <c r="T22" s="246"/>
      <c r="W22" s="275"/>
    </row>
    <row r="23" spans="1:23" ht="15" customHeight="1">
      <c r="A23" s="224"/>
      <c r="B23" s="225"/>
      <c r="C23" s="226"/>
      <c r="D23" s="225"/>
      <c r="E23" s="237"/>
      <c r="F23" s="231" t="s">
        <v>1932</v>
      </c>
      <c r="G23" s="249"/>
      <c r="H23" s="240"/>
      <c r="I23" s="240"/>
      <c r="J23" s="240"/>
      <c r="K23" s="240"/>
      <c r="L23" s="250"/>
      <c r="M23" s="240"/>
      <c r="N23" s="244"/>
      <c r="O23" s="244"/>
      <c r="P23" s="1061">
        <f>SUM(P24:P24)</f>
        <v>14300000</v>
      </c>
      <c r="Q23" s="235"/>
      <c r="R23" s="997"/>
      <c r="S23" s="235"/>
      <c r="T23" s="246"/>
    </row>
    <row r="24" spans="1:23" ht="15" customHeight="1">
      <c r="A24" s="224"/>
      <c r="B24" s="225"/>
      <c r="C24" s="226"/>
      <c r="D24" s="225"/>
      <c r="E24" s="247"/>
      <c r="F24" s="238" t="s">
        <v>1933</v>
      </c>
      <c r="G24" s="252">
        <v>130000</v>
      </c>
      <c r="H24" s="240" t="s">
        <v>1921</v>
      </c>
      <c r="I24" s="241">
        <v>11</v>
      </c>
      <c r="J24" s="240" t="s">
        <v>109</v>
      </c>
      <c r="K24" s="242">
        <v>10</v>
      </c>
      <c r="L24" s="243"/>
      <c r="M24" s="242"/>
      <c r="N24" s="244"/>
      <c r="O24" s="244" t="s">
        <v>1897</v>
      </c>
      <c r="P24" s="245">
        <f>ROUNDUP(G24*I24*K24,-3)</f>
        <v>14300000</v>
      </c>
      <c r="Q24" s="235"/>
      <c r="R24" s="997"/>
      <c r="S24" s="235"/>
      <c r="T24" s="246"/>
    </row>
    <row r="25" spans="1:23" ht="15" customHeight="1">
      <c r="A25" s="224"/>
      <c r="B25" s="225"/>
      <c r="C25" s="226"/>
      <c r="D25" s="225"/>
      <c r="E25" s="237"/>
      <c r="F25" s="231" t="s">
        <v>1934</v>
      </c>
      <c r="G25" s="249"/>
      <c r="H25" s="240"/>
      <c r="I25" s="240"/>
      <c r="J25" s="240"/>
      <c r="K25" s="240"/>
      <c r="L25" s="250"/>
      <c r="M25" s="240"/>
      <c r="N25" s="244"/>
      <c r="O25" s="244"/>
      <c r="P25" s="1061">
        <f>SUM(P26:P26)</f>
        <v>3300000</v>
      </c>
      <c r="Q25" s="235"/>
      <c r="R25" s="997"/>
      <c r="S25" s="235"/>
      <c r="T25" s="246"/>
    </row>
    <row r="26" spans="1:23" ht="15" customHeight="1">
      <c r="A26" s="224"/>
      <c r="B26" s="225"/>
      <c r="C26" s="226"/>
      <c r="D26" s="225"/>
      <c r="E26" s="247"/>
      <c r="F26" s="238" t="s">
        <v>1935</v>
      </c>
      <c r="G26" s="252">
        <v>30000</v>
      </c>
      <c r="H26" s="240" t="s">
        <v>282</v>
      </c>
      <c r="I26" s="241">
        <v>11</v>
      </c>
      <c r="J26" s="240" t="s">
        <v>109</v>
      </c>
      <c r="K26" s="242">
        <v>10</v>
      </c>
      <c r="L26" s="243"/>
      <c r="M26" s="242"/>
      <c r="N26" s="244"/>
      <c r="O26" s="244" t="s">
        <v>1897</v>
      </c>
      <c r="P26" s="245">
        <f>ROUNDUP(G26*I26*K26,-3)</f>
        <v>3300000</v>
      </c>
      <c r="Q26" s="235"/>
      <c r="R26" s="997"/>
      <c r="S26" s="235"/>
      <c r="T26" s="246"/>
    </row>
    <row r="27" spans="1:23" ht="15" customHeight="1">
      <c r="A27" s="224"/>
      <c r="B27" s="225"/>
      <c r="C27" s="226"/>
      <c r="D27" s="225"/>
      <c r="E27" s="226"/>
      <c r="F27" s="231" t="s">
        <v>1936</v>
      </c>
      <c r="G27" s="249"/>
      <c r="H27" s="240"/>
      <c r="I27" s="240"/>
      <c r="J27" s="240"/>
      <c r="K27" s="240"/>
      <c r="L27" s="250"/>
      <c r="M27" s="240"/>
      <c r="N27" s="244"/>
      <c r="O27" s="244"/>
      <c r="P27" s="1061">
        <f>SUM(P28:P28)</f>
        <v>64350000</v>
      </c>
      <c r="Q27" s="235"/>
      <c r="R27" s="997"/>
      <c r="S27" s="235"/>
      <c r="T27" s="246"/>
    </row>
    <row r="28" spans="1:23" ht="15" customHeight="1">
      <c r="A28" s="224"/>
      <c r="B28" s="225"/>
      <c r="C28" s="226"/>
      <c r="D28" s="225"/>
      <c r="E28" s="237"/>
      <c r="F28" s="238" t="s">
        <v>1937</v>
      </c>
      <c r="G28" s="252">
        <v>585000</v>
      </c>
      <c r="H28" s="240" t="s">
        <v>1921</v>
      </c>
      <c r="I28" s="241">
        <v>11</v>
      </c>
      <c r="J28" s="240" t="s">
        <v>109</v>
      </c>
      <c r="K28" s="242">
        <v>10</v>
      </c>
      <c r="L28" s="250"/>
      <c r="M28" s="254"/>
      <c r="N28" s="244"/>
      <c r="O28" s="244" t="s">
        <v>1922</v>
      </c>
      <c r="P28" s="245">
        <f>ROUNDUP(G28*I28*K28,-3)</f>
        <v>64350000</v>
      </c>
      <c r="Q28" s="235"/>
      <c r="R28" s="997"/>
      <c r="S28" s="235"/>
      <c r="T28" s="246"/>
    </row>
    <row r="29" spans="1:23" ht="15" customHeight="1">
      <c r="A29" s="224"/>
      <c r="B29" s="225"/>
      <c r="C29" s="226"/>
      <c r="D29" s="225"/>
      <c r="E29" s="237"/>
      <c r="F29" s="231" t="s">
        <v>1938</v>
      </c>
      <c r="G29" s="1393"/>
      <c r="H29" s="240"/>
      <c r="I29" s="240"/>
      <c r="J29" s="240"/>
      <c r="K29" s="240"/>
      <c r="L29" s="250"/>
      <c r="M29" s="240"/>
      <c r="N29" s="244"/>
      <c r="O29" s="244"/>
      <c r="P29" s="1061">
        <f>SUM(P30:P32)</f>
        <v>9500000</v>
      </c>
      <c r="Q29" s="235"/>
      <c r="R29" s="997"/>
      <c r="S29" s="235"/>
      <c r="T29" s="246"/>
    </row>
    <row r="30" spans="1:23" ht="15" customHeight="1">
      <c r="A30" s="224"/>
      <c r="B30" s="225"/>
      <c r="C30" s="226"/>
      <c r="D30" s="225"/>
      <c r="E30" s="237"/>
      <c r="F30" s="238" t="s">
        <v>1920</v>
      </c>
      <c r="G30" s="252">
        <v>1930000</v>
      </c>
      <c r="H30" s="240" t="s">
        <v>1921</v>
      </c>
      <c r="I30" s="241">
        <v>1</v>
      </c>
      <c r="J30" s="240" t="s">
        <v>109</v>
      </c>
      <c r="K30" s="242">
        <v>1</v>
      </c>
      <c r="L30" s="243"/>
      <c r="M30" s="242"/>
      <c r="N30" s="244"/>
      <c r="O30" s="244" t="s">
        <v>1897</v>
      </c>
      <c r="P30" s="245">
        <f>ROUNDUP(G30*I30*K30,-3)</f>
        <v>1930000</v>
      </c>
      <c r="Q30" s="235"/>
      <c r="R30" s="997"/>
      <c r="S30" s="235"/>
      <c r="T30" s="246"/>
    </row>
    <row r="31" spans="1:23" ht="15" customHeight="1">
      <c r="A31" s="224"/>
      <c r="B31" s="225"/>
      <c r="C31" s="226"/>
      <c r="D31" s="225"/>
      <c r="E31" s="247"/>
      <c r="F31" s="248" t="s">
        <v>1923</v>
      </c>
      <c r="G31" s="252">
        <v>1449000</v>
      </c>
      <c r="H31" s="240" t="s">
        <v>1881</v>
      </c>
      <c r="I31" s="241">
        <v>2</v>
      </c>
      <c r="J31" s="240" t="s">
        <v>109</v>
      </c>
      <c r="K31" s="242">
        <v>1</v>
      </c>
      <c r="L31" s="243"/>
      <c r="M31" s="242"/>
      <c r="N31" s="244"/>
      <c r="O31" s="244" t="s">
        <v>1922</v>
      </c>
      <c r="P31" s="245">
        <f>ROUNDUP(G31*I31*K31,-3)</f>
        <v>2898000</v>
      </c>
      <c r="Q31" s="235"/>
      <c r="R31" s="997"/>
      <c r="S31" s="235"/>
      <c r="T31" s="246"/>
    </row>
    <row r="32" spans="1:23" ht="15" customHeight="1">
      <c r="A32" s="224"/>
      <c r="B32" s="225"/>
      <c r="C32" s="226"/>
      <c r="D32" s="225"/>
      <c r="E32" s="247"/>
      <c r="F32" s="248" t="s">
        <v>1939</v>
      </c>
      <c r="G32" s="252">
        <v>584000</v>
      </c>
      <c r="H32" s="240" t="s">
        <v>1881</v>
      </c>
      <c r="I32" s="241">
        <v>8</v>
      </c>
      <c r="J32" s="240" t="s">
        <v>109</v>
      </c>
      <c r="K32" s="242">
        <v>1</v>
      </c>
      <c r="L32" s="243"/>
      <c r="M32" s="242"/>
      <c r="N32" s="244"/>
      <c r="O32" s="244" t="s">
        <v>1922</v>
      </c>
      <c r="P32" s="245">
        <f>ROUNDUP(G32*I32*K32,-3)</f>
        <v>4672000</v>
      </c>
      <c r="Q32" s="235"/>
      <c r="R32" s="997"/>
      <c r="S32" s="235"/>
      <c r="T32" s="246"/>
    </row>
    <row r="33" spans="1:24" ht="15" customHeight="1">
      <c r="A33" s="224"/>
      <c r="B33" s="225"/>
      <c r="C33" s="226"/>
      <c r="D33" s="225"/>
      <c r="E33" s="237"/>
      <c r="F33" s="231" t="s">
        <v>1940</v>
      </c>
      <c r="G33" s="1393"/>
      <c r="H33" s="240"/>
      <c r="I33" s="240"/>
      <c r="J33" s="240"/>
      <c r="K33" s="240"/>
      <c r="L33" s="250"/>
      <c r="M33" s="240"/>
      <c r="N33" s="244"/>
      <c r="O33" s="244"/>
      <c r="P33" s="1061">
        <f>SUM(P34:P37)</f>
        <v>4660000</v>
      </c>
      <c r="Q33" s="235"/>
      <c r="R33" s="997"/>
      <c r="S33" s="235"/>
      <c r="T33" s="246"/>
    </row>
    <row r="34" spans="1:24" ht="15" customHeight="1">
      <c r="A34" s="224"/>
      <c r="B34" s="225"/>
      <c r="C34" s="226"/>
      <c r="D34" s="225"/>
      <c r="E34" s="237"/>
      <c r="F34" s="238" t="s">
        <v>1941</v>
      </c>
      <c r="G34" s="252">
        <v>100000</v>
      </c>
      <c r="H34" s="240" t="s">
        <v>1881</v>
      </c>
      <c r="I34" s="241">
        <v>2</v>
      </c>
      <c r="J34" s="240" t="s">
        <v>109</v>
      </c>
      <c r="K34" s="242">
        <v>10</v>
      </c>
      <c r="L34" s="243"/>
      <c r="M34" s="242"/>
      <c r="N34" s="244"/>
      <c r="O34" s="244" t="s">
        <v>1922</v>
      </c>
      <c r="P34" s="245">
        <f>ROUNDUP(G34*I34*K34,-3)</f>
        <v>2000000</v>
      </c>
      <c r="Q34" s="235"/>
      <c r="R34" s="997"/>
      <c r="S34" s="235"/>
      <c r="T34" s="246"/>
    </row>
    <row r="35" spans="1:24" ht="15" customHeight="1">
      <c r="A35" s="224"/>
      <c r="B35" s="225"/>
      <c r="C35" s="226"/>
      <c r="D35" s="225"/>
      <c r="E35" s="247"/>
      <c r="F35" s="248" t="s">
        <v>1942</v>
      </c>
      <c r="G35" s="252">
        <v>80000</v>
      </c>
      <c r="H35" s="240" t="s">
        <v>1881</v>
      </c>
      <c r="I35" s="241">
        <v>2</v>
      </c>
      <c r="J35" s="240" t="s">
        <v>109</v>
      </c>
      <c r="K35" s="242">
        <v>10</v>
      </c>
      <c r="L35" s="243"/>
      <c r="M35" s="242"/>
      <c r="N35" s="244"/>
      <c r="O35" s="244" t="s">
        <v>1922</v>
      </c>
      <c r="P35" s="245">
        <f>ROUNDUP(G35*I35*K35,-3)</f>
        <v>1600000</v>
      </c>
      <c r="Q35" s="235"/>
      <c r="R35" s="997"/>
      <c r="S35" s="235"/>
      <c r="T35" s="246"/>
    </row>
    <row r="36" spans="1:24" ht="15" customHeight="1">
      <c r="A36" s="224"/>
      <c r="B36" s="225"/>
      <c r="C36" s="226"/>
      <c r="D36" s="225"/>
      <c r="E36" s="247"/>
      <c r="F36" s="248" t="s">
        <v>1943</v>
      </c>
      <c r="G36" s="252">
        <v>10000</v>
      </c>
      <c r="H36" s="240" t="s">
        <v>1881</v>
      </c>
      <c r="I36" s="241">
        <v>1</v>
      </c>
      <c r="J36" s="240" t="s">
        <v>109</v>
      </c>
      <c r="K36" s="242">
        <v>6</v>
      </c>
      <c r="L36" s="243"/>
      <c r="M36" s="242"/>
      <c r="N36" s="244"/>
      <c r="O36" s="244" t="s">
        <v>1897</v>
      </c>
      <c r="P36" s="245">
        <f>ROUNDUP(G36*I36*K36,-3)</f>
        <v>60000</v>
      </c>
      <c r="Q36" s="235"/>
      <c r="R36" s="997"/>
      <c r="S36" s="235"/>
      <c r="T36" s="246"/>
    </row>
    <row r="37" spans="1:24" ht="15" customHeight="1">
      <c r="A37" s="576"/>
      <c r="B37" s="278"/>
      <c r="C37" s="279"/>
      <c r="D37" s="278"/>
      <c r="E37" s="280"/>
      <c r="F37" s="281" t="s">
        <v>1944</v>
      </c>
      <c r="G37" s="579">
        <v>50000</v>
      </c>
      <c r="H37" s="283" t="s">
        <v>1881</v>
      </c>
      <c r="I37" s="1118">
        <v>2</v>
      </c>
      <c r="J37" s="283" t="s">
        <v>109</v>
      </c>
      <c r="K37" s="284">
        <v>10</v>
      </c>
      <c r="L37" s="1402"/>
      <c r="M37" s="284"/>
      <c r="N37" s="285"/>
      <c r="O37" s="285" t="s">
        <v>1897</v>
      </c>
      <c r="P37" s="286">
        <f>ROUNDUP(G37*I37*K37,-3)</f>
        <v>1000000</v>
      </c>
      <c r="Q37" s="287"/>
      <c r="R37" s="1027"/>
      <c r="S37" s="287"/>
      <c r="T37" s="288"/>
    </row>
    <row r="38" spans="1:24" ht="15" customHeight="1">
      <c r="A38" s="224"/>
      <c r="B38" s="225"/>
      <c r="C38" s="226"/>
      <c r="D38" s="225"/>
      <c r="E38" s="237"/>
      <c r="F38" s="231" t="s">
        <v>1945</v>
      </c>
      <c r="G38" s="249"/>
      <c r="H38" s="240"/>
      <c r="I38" s="240"/>
      <c r="J38" s="240"/>
      <c r="K38" s="240"/>
      <c r="L38" s="250"/>
      <c r="M38" s="240"/>
      <c r="N38" s="244"/>
      <c r="O38" s="244"/>
      <c r="P38" s="1061">
        <f>SUM(P39:P41)</f>
        <v>15066000</v>
      </c>
      <c r="Q38" s="235"/>
      <c r="R38" s="997"/>
      <c r="S38" s="235"/>
      <c r="T38" s="246"/>
    </row>
    <row r="39" spans="1:24" ht="15" customHeight="1">
      <c r="A39" s="224"/>
      <c r="B39" s="225"/>
      <c r="C39" s="226"/>
      <c r="D39" s="225"/>
      <c r="E39" s="237"/>
      <c r="F39" s="238" t="s">
        <v>1927</v>
      </c>
      <c r="G39" s="252">
        <v>2350000</v>
      </c>
      <c r="H39" s="240" t="s">
        <v>1881</v>
      </c>
      <c r="I39" s="241">
        <v>1</v>
      </c>
      <c r="J39" s="240" t="s">
        <v>109</v>
      </c>
      <c r="K39" s="242">
        <v>1</v>
      </c>
      <c r="L39" s="243"/>
      <c r="M39" s="242"/>
      <c r="N39" s="244"/>
      <c r="O39" s="244" t="s">
        <v>1897</v>
      </c>
      <c r="P39" s="245">
        <f>ROUNDUP(G39*I39*K39,-3)</f>
        <v>2350000</v>
      </c>
      <c r="Q39" s="235"/>
      <c r="R39" s="997"/>
      <c r="S39" s="235"/>
      <c r="T39" s="246"/>
    </row>
    <row r="40" spans="1:24" ht="15" customHeight="1">
      <c r="A40" s="224"/>
      <c r="B40" s="225"/>
      <c r="C40" s="226"/>
      <c r="D40" s="225"/>
      <c r="E40" s="247"/>
      <c r="F40" s="248" t="s">
        <v>1946</v>
      </c>
      <c r="G40" s="252">
        <v>1750000</v>
      </c>
      <c r="H40" s="240" t="s">
        <v>1881</v>
      </c>
      <c r="I40" s="241">
        <v>2</v>
      </c>
      <c r="J40" s="240" t="s">
        <v>109</v>
      </c>
      <c r="K40" s="242">
        <v>1</v>
      </c>
      <c r="L40" s="243"/>
      <c r="M40" s="242"/>
      <c r="N40" s="244"/>
      <c r="O40" s="244" t="s">
        <v>1922</v>
      </c>
      <c r="P40" s="245">
        <f>ROUNDUP(G40*I40*K40,-3)</f>
        <v>3500000</v>
      </c>
      <c r="Q40" s="235"/>
      <c r="R40" s="997"/>
      <c r="S40" s="235"/>
      <c r="T40" s="246"/>
    </row>
    <row r="41" spans="1:24" ht="15" customHeight="1">
      <c r="A41" s="224"/>
      <c r="B41" s="225"/>
      <c r="C41" s="226"/>
      <c r="D41" s="225"/>
      <c r="E41" s="247"/>
      <c r="F41" s="248" t="s">
        <v>1924</v>
      </c>
      <c r="G41" s="252">
        <v>1152000</v>
      </c>
      <c r="H41" s="240" t="s">
        <v>1921</v>
      </c>
      <c r="I41" s="241">
        <v>8</v>
      </c>
      <c r="J41" s="240" t="s">
        <v>109</v>
      </c>
      <c r="K41" s="242">
        <v>1</v>
      </c>
      <c r="L41" s="243"/>
      <c r="M41" s="242"/>
      <c r="N41" s="244"/>
      <c r="O41" s="244" t="s">
        <v>1922</v>
      </c>
      <c r="P41" s="245">
        <f>ROUNDUP(G41*I41*K41,-3)</f>
        <v>9216000</v>
      </c>
      <c r="Q41" s="235"/>
      <c r="R41" s="997"/>
      <c r="S41" s="235"/>
      <c r="T41" s="246"/>
    </row>
    <row r="42" spans="1:24" ht="15" customHeight="1">
      <c r="A42" s="224"/>
      <c r="B42" s="225"/>
      <c r="C42" s="226"/>
      <c r="D42" s="225"/>
      <c r="E42" s="237"/>
      <c r="F42" s="231" t="s">
        <v>1947</v>
      </c>
      <c r="G42" s="249"/>
      <c r="H42" s="240"/>
      <c r="I42" s="240"/>
      <c r="J42" s="240"/>
      <c r="K42" s="240"/>
      <c r="L42" s="250"/>
      <c r="M42" s="240"/>
      <c r="N42" s="244"/>
      <c r="O42" s="244"/>
      <c r="P42" s="1061">
        <f>SUM(P43:P43)</f>
        <v>6082000</v>
      </c>
      <c r="Q42" s="235"/>
      <c r="R42" s="997"/>
      <c r="S42" s="235"/>
      <c r="T42" s="246"/>
    </row>
    <row r="43" spans="1:24" ht="15" customHeight="1">
      <c r="A43" s="224"/>
      <c r="B43" s="225"/>
      <c r="C43" s="226"/>
      <c r="D43" s="225"/>
      <c r="E43" s="237"/>
      <c r="F43" s="238" t="s">
        <v>1948</v>
      </c>
      <c r="G43" s="252">
        <v>110570</v>
      </c>
      <c r="H43" s="240" t="s">
        <v>1881</v>
      </c>
      <c r="I43" s="241">
        <v>11</v>
      </c>
      <c r="J43" s="240" t="s">
        <v>109</v>
      </c>
      <c r="K43" s="1122">
        <v>5</v>
      </c>
      <c r="L43" s="250"/>
      <c r="M43" s="254"/>
      <c r="N43" s="244"/>
      <c r="O43" s="244" t="s">
        <v>1897</v>
      </c>
      <c r="P43" s="245">
        <f>ROUNDUP(G43*I43*K43,-3)</f>
        <v>6082000</v>
      </c>
      <c r="Q43" s="235"/>
      <c r="R43" s="997"/>
      <c r="S43" s="235"/>
      <c r="T43" s="246"/>
    </row>
    <row r="44" spans="1:24" ht="15" customHeight="1">
      <c r="A44" s="224"/>
      <c r="B44" s="225"/>
      <c r="C44" s="226"/>
      <c r="D44" s="225"/>
      <c r="E44" s="66" t="s">
        <v>1949</v>
      </c>
      <c r="F44" s="227"/>
      <c r="G44" s="228"/>
      <c r="H44" s="66"/>
      <c r="I44" s="66"/>
      <c r="J44" s="66"/>
      <c r="K44" s="66"/>
      <c r="L44" s="229"/>
      <c r="M44" s="66"/>
      <c r="N44" s="230"/>
      <c r="O44" s="230"/>
      <c r="P44" s="66"/>
      <c r="Q44" s="171">
        <f>SUM(P45)</f>
        <v>82810000</v>
      </c>
      <c r="R44" s="171">
        <v>0</v>
      </c>
      <c r="S44" s="171">
        <f>Q44-R44</f>
        <v>82810000</v>
      </c>
      <c r="T44" s="172">
        <v>1</v>
      </c>
      <c r="X44" s="275"/>
    </row>
    <row r="45" spans="1:24" ht="15" customHeight="1">
      <c r="A45" s="224"/>
      <c r="B45" s="225"/>
      <c r="C45" s="226"/>
      <c r="D45" s="225"/>
      <c r="E45" s="226"/>
      <c r="F45" s="231" t="s">
        <v>1950</v>
      </c>
      <c r="G45" s="249"/>
      <c r="H45" s="240"/>
      <c r="I45" s="240"/>
      <c r="J45" s="240"/>
      <c r="K45" s="240"/>
      <c r="L45" s="250"/>
      <c r="M45" s="240"/>
      <c r="N45" s="244"/>
      <c r="O45" s="244"/>
      <c r="P45" s="1061">
        <f>SUM(P46:P50)</f>
        <v>82810000</v>
      </c>
      <c r="Q45" s="235"/>
      <c r="R45" s="997"/>
      <c r="S45" s="235"/>
      <c r="T45" s="246"/>
    </row>
    <row r="46" spans="1:24" ht="15" customHeight="1">
      <c r="A46" s="224"/>
      <c r="B46" s="225"/>
      <c r="C46" s="226"/>
      <c r="D46" s="225"/>
      <c r="E46" s="237"/>
      <c r="F46" s="238" t="s">
        <v>1951</v>
      </c>
      <c r="G46" s="249">
        <v>1950000</v>
      </c>
      <c r="H46" s="240" t="s">
        <v>1921</v>
      </c>
      <c r="I46" s="241">
        <v>1</v>
      </c>
      <c r="J46" s="240" t="s">
        <v>109</v>
      </c>
      <c r="K46" s="242">
        <v>10</v>
      </c>
      <c r="L46" s="243"/>
      <c r="M46" s="242"/>
      <c r="N46" s="244"/>
      <c r="O46" s="244" t="s">
        <v>1897</v>
      </c>
      <c r="P46" s="245">
        <f t="shared" ref="P46:P48" si="0">ROUNDUP(G46*I46*K46,-3)</f>
        <v>19500000</v>
      </c>
      <c r="Q46" s="235"/>
      <c r="R46" s="997"/>
      <c r="S46" s="235"/>
      <c r="T46" s="246"/>
    </row>
    <row r="47" spans="1:24" ht="15" customHeight="1">
      <c r="A47" s="224"/>
      <c r="B47" s="225"/>
      <c r="C47" s="226"/>
      <c r="D47" s="225"/>
      <c r="E47" s="237"/>
      <c r="F47" s="238" t="s">
        <v>1952</v>
      </c>
      <c r="G47" s="249">
        <v>1850000</v>
      </c>
      <c r="H47" s="240" t="s">
        <v>1921</v>
      </c>
      <c r="I47" s="241">
        <v>2</v>
      </c>
      <c r="J47" s="240" t="s">
        <v>109</v>
      </c>
      <c r="K47" s="242">
        <v>10</v>
      </c>
      <c r="L47" s="243"/>
      <c r="M47" s="242"/>
      <c r="N47" s="244"/>
      <c r="O47" s="244" t="s">
        <v>1897</v>
      </c>
      <c r="P47" s="245">
        <f t="shared" si="0"/>
        <v>37000000</v>
      </c>
      <c r="Q47" s="235"/>
      <c r="R47" s="997"/>
      <c r="S47" s="235"/>
      <c r="T47" s="246"/>
    </row>
    <row r="48" spans="1:24" ht="15" customHeight="1">
      <c r="A48" s="224"/>
      <c r="B48" s="225"/>
      <c r="C48" s="226"/>
      <c r="D48" s="225"/>
      <c r="E48" s="237"/>
      <c r="F48" s="238" t="s">
        <v>1953</v>
      </c>
      <c r="G48" s="249">
        <v>1850000</v>
      </c>
      <c r="H48" s="240" t="s">
        <v>1881</v>
      </c>
      <c r="I48" s="241">
        <v>1</v>
      </c>
      <c r="J48" s="240" t="s">
        <v>109</v>
      </c>
      <c r="K48" s="242">
        <v>10</v>
      </c>
      <c r="L48" s="243"/>
      <c r="M48" s="242"/>
      <c r="N48" s="244"/>
      <c r="O48" s="244" t="s">
        <v>1897</v>
      </c>
      <c r="P48" s="245">
        <f t="shared" si="0"/>
        <v>18500000</v>
      </c>
      <c r="Q48" s="235"/>
      <c r="R48" s="997"/>
      <c r="S48" s="235"/>
      <c r="T48" s="246"/>
    </row>
    <row r="49" spans="1:27" ht="15" customHeight="1">
      <c r="A49" s="224"/>
      <c r="B49" s="225"/>
      <c r="C49" s="226"/>
      <c r="D49" s="225"/>
      <c r="E49" s="237"/>
      <c r="F49" s="238" t="s">
        <v>1954</v>
      </c>
      <c r="G49" s="252">
        <v>72000</v>
      </c>
      <c r="H49" s="240" t="s">
        <v>1921</v>
      </c>
      <c r="I49" s="241">
        <v>4</v>
      </c>
      <c r="J49" s="240" t="s">
        <v>109</v>
      </c>
      <c r="K49" s="1122">
        <v>5</v>
      </c>
      <c r="L49" s="250"/>
      <c r="M49" s="254"/>
      <c r="N49" s="244"/>
      <c r="O49" s="244" t="s">
        <v>1922</v>
      </c>
      <c r="P49" s="245">
        <f>ROUNDUP(G49*I49*K49,-3)</f>
        <v>1440000</v>
      </c>
      <c r="Q49" s="235"/>
      <c r="R49" s="997"/>
      <c r="S49" s="235"/>
      <c r="T49" s="246"/>
    </row>
    <row r="50" spans="1:27" ht="15" customHeight="1">
      <c r="A50" s="224"/>
      <c r="B50" s="225"/>
      <c r="C50" s="226"/>
      <c r="D50" s="225"/>
      <c r="E50" s="237"/>
      <c r="F50" s="238" t="s">
        <v>1955</v>
      </c>
      <c r="G50" s="252">
        <f>P46+P47+P48+P49</f>
        <v>76440000</v>
      </c>
      <c r="H50" s="240" t="s">
        <v>1881</v>
      </c>
      <c r="I50" s="1998">
        <v>12</v>
      </c>
      <c r="J50" s="1998"/>
      <c r="K50" s="242"/>
      <c r="L50" s="243"/>
      <c r="M50" s="242"/>
      <c r="N50" s="244"/>
      <c r="O50" s="244" t="s">
        <v>1897</v>
      </c>
      <c r="P50" s="245">
        <f>ROUNDUP((G50/12),-3)</f>
        <v>6370000</v>
      </c>
      <c r="Q50" s="235"/>
      <c r="R50" s="997"/>
      <c r="S50" s="235"/>
      <c r="T50" s="246"/>
    </row>
    <row r="51" spans="1:27" ht="15" customHeight="1">
      <c r="A51" s="224"/>
      <c r="B51" s="225"/>
      <c r="C51" s="226"/>
      <c r="D51" s="225"/>
      <c r="E51" s="255" t="s">
        <v>1956</v>
      </c>
      <c r="F51" s="227"/>
      <c r="G51" s="228"/>
      <c r="H51" s="66"/>
      <c r="I51" s="66"/>
      <c r="J51" s="66"/>
      <c r="K51" s="66"/>
      <c r="L51" s="229"/>
      <c r="M51" s="66"/>
      <c r="N51" s="230"/>
      <c r="O51" s="230"/>
      <c r="P51" s="66"/>
      <c r="Q51" s="171">
        <f>SUM(P52)</f>
        <v>32092000</v>
      </c>
      <c r="R51" s="171">
        <v>0</v>
      </c>
      <c r="S51" s="171">
        <f>Q51-R51</f>
        <v>32092000</v>
      </c>
      <c r="T51" s="172">
        <v>1</v>
      </c>
    </row>
    <row r="52" spans="1:27" ht="15" customHeight="1">
      <c r="A52" s="224"/>
      <c r="B52" s="225"/>
      <c r="C52" s="226"/>
      <c r="D52" s="225"/>
      <c r="E52" s="226"/>
      <c r="F52" s="231" t="s">
        <v>1957</v>
      </c>
      <c r="G52" s="249"/>
      <c r="H52" s="240"/>
      <c r="I52" s="240"/>
      <c r="J52" s="240"/>
      <c r="K52" s="240"/>
      <c r="L52" s="250"/>
      <c r="M52" s="240"/>
      <c r="N52" s="244"/>
      <c r="O52" s="244"/>
      <c r="P52" s="1061">
        <f>SUM(P53:P53)</f>
        <v>32092000</v>
      </c>
      <c r="Q52" s="235"/>
      <c r="R52" s="997"/>
      <c r="S52" s="235"/>
      <c r="T52" s="246"/>
    </row>
    <row r="53" spans="1:27" ht="15" customHeight="1">
      <c r="A53" s="224"/>
      <c r="B53" s="225"/>
      <c r="C53" s="226"/>
      <c r="D53" s="225"/>
      <c r="E53" s="237"/>
      <c r="F53" s="238" t="s">
        <v>1958</v>
      </c>
      <c r="G53" s="252">
        <f>Q9+Q14</f>
        <v>385098000</v>
      </c>
      <c r="H53" s="240" t="s">
        <v>1921</v>
      </c>
      <c r="I53" s="1998">
        <v>12</v>
      </c>
      <c r="J53" s="1998"/>
      <c r="K53" s="242"/>
      <c r="L53" s="243"/>
      <c r="M53" s="242"/>
      <c r="N53" s="244"/>
      <c r="O53" s="244" t="s">
        <v>1897</v>
      </c>
      <c r="P53" s="245">
        <f>ROUNDUP((G53/12),-3)</f>
        <v>32092000</v>
      </c>
      <c r="Q53" s="235"/>
      <c r="R53" s="997"/>
      <c r="S53" s="235"/>
      <c r="T53" s="246"/>
    </row>
    <row r="54" spans="1:27" ht="15" customHeight="1">
      <c r="A54" s="224"/>
      <c r="B54" s="225"/>
      <c r="C54" s="226"/>
      <c r="D54" s="84" t="s">
        <v>1959</v>
      </c>
      <c r="E54" s="1446"/>
      <c r="F54" s="1447"/>
      <c r="G54" s="1448"/>
      <c r="H54" s="1446"/>
      <c r="I54" s="1446"/>
      <c r="J54" s="1446"/>
      <c r="K54" s="1446"/>
      <c r="L54" s="1449"/>
      <c r="M54" s="1446"/>
      <c r="N54" s="1450"/>
      <c r="O54" s="1450"/>
      <c r="P54" s="1446"/>
      <c r="Q54" s="76">
        <f>SUM(Q55:Q133)</f>
        <v>600000000</v>
      </c>
      <c r="R54" s="76">
        <f>SUM(R55:R133)</f>
        <v>0</v>
      </c>
      <c r="S54" s="76">
        <v>0</v>
      </c>
      <c r="T54" s="135">
        <v>1</v>
      </c>
      <c r="W54" s="196">
        <v>2018</v>
      </c>
      <c r="X54" s="196">
        <v>2017</v>
      </c>
    </row>
    <row r="55" spans="1:27" ht="15" customHeight="1">
      <c r="A55" s="224"/>
      <c r="B55" s="225"/>
      <c r="C55" s="226"/>
      <c r="D55" s="225"/>
      <c r="E55" s="66" t="s">
        <v>1960</v>
      </c>
      <c r="F55" s="227"/>
      <c r="G55" s="228"/>
      <c r="H55" s="66"/>
      <c r="I55" s="66"/>
      <c r="J55" s="66"/>
      <c r="K55" s="66"/>
      <c r="L55" s="229"/>
      <c r="M55" s="66"/>
      <c r="N55" s="230"/>
      <c r="O55" s="230"/>
      <c r="P55" s="66"/>
      <c r="Q55" s="171">
        <f>+P56</f>
        <v>44736000</v>
      </c>
      <c r="R55" s="171">
        <v>0</v>
      </c>
      <c r="S55" s="171">
        <f>Q55-R55</f>
        <v>44736000</v>
      </c>
      <c r="T55" s="172">
        <v>1</v>
      </c>
      <c r="V55" s="196" t="s">
        <v>2148</v>
      </c>
      <c r="W55" s="236">
        <f>W58-W56</f>
        <v>237151000</v>
      </c>
    </row>
    <row r="56" spans="1:27" ht="15" customHeight="1">
      <c r="A56" s="224"/>
      <c r="B56" s="225"/>
      <c r="C56" s="226"/>
      <c r="D56" s="225"/>
      <c r="E56" s="226"/>
      <c r="F56" s="231" t="s">
        <v>1961</v>
      </c>
      <c r="G56" s="249"/>
      <c r="H56" s="240"/>
      <c r="I56" s="240"/>
      <c r="J56" s="240"/>
      <c r="K56" s="240"/>
      <c r="L56" s="250"/>
      <c r="M56" s="240"/>
      <c r="N56" s="244"/>
      <c r="O56" s="244"/>
      <c r="P56" s="1061">
        <f>SUM(P57:P61)</f>
        <v>44736000</v>
      </c>
      <c r="Q56" s="235"/>
      <c r="R56" s="997"/>
      <c r="S56" s="235"/>
      <c r="T56" s="246"/>
      <c r="V56" s="196" t="s">
        <v>2157</v>
      </c>
      <c r="W56" s="236">
        <f>Q130</f>
        <v>362849000</v>
      </c>
      <c r="AA56" s="275"/>
    </row>
    <row r="57" spans="1:27" ht="15" customHeight="1">
      <c r="A57" s="224"/>
      <c r="B57" s="225"/>
      <c r="C57" s="226"/>
      <c r="D57" s="225"/>
      <c r="E57" s="237"/>
      <c r="F57" s="238" t="s">
        <v>1962</v>
      </c>
      <c r="G57" s="252">
        <v>467908000</v>
      </c>
      <c r="H57" s="240" t="s">
        <v>1921</v>
      </c>
      <c r="I57" s="1991">
        <v>4.4999999999999998E-2</v>
      </c>
      <c r="J57" s="1991"/>
      <c r="K57" s="242"/>
      <c r="L57" s="243"/>
      <c r="M57" s="242"/>
      <c r="N57" s="244"/>
      <c r="O57" s="244" t="s">
        <v>1922</v>
      </c>
      <c r="P57" s="245">
        <f>ROUNDUP(G57*I57,-3)</f>
        <v>21056000</v>
      </c>
      <c r="Q57" s="235"/>
      <c r="R57" s="997"/>
      <c r="S57" s="235"/>
      <c r="T57" s="246"/>
    </row>
    <row r="58" spans="1:27" ht="15" customHeight="1">
      <c r="A58" s="224"/>
      <c r="B58" s="225"/>
      <c r="C58" s="226"/>
      <c r="D58" s="225"/>
      <c r="E58" s="247"/>
      <c r="F58" s="248" t="s">
        <v>1963</v>
      </c>
      <c r="G58" s="252">
        <v>467908000</v>
      </c>
      <c r="H58" s="240" t="s">
        <v>1881</v>
      </c>
      <c r="I58" s="1991">
        <v>3.0599999999999999E-2</v>
      </c>
      <c r="J58" s="1991"/>
      <c r="K58" s="242"/>
      <c r="L58" s="243"/>
      <c r="M58" s="242"/>
      <c r="N58" s="244"/>
      <c r="O58" s="244" t="s">
        <v>1897</v>
      </c>
      <c r="P58" s="245">
        <f>ROUNDUP(G58*I58,-3)</f>
        <v>14318000</v>
      </c>
      <c r="Q58" s="235"/>
      <c r="R58" s="997"/>
      <c r="S58" s="235"/>
      <c r="T58" s="246"/>
      <c r="V58" s="196" t="s">
        <v>2158</v>
      </c>
      <c r="W58" s="236">
        <f>Q54</f>
        <v>600000000</v>
      </c>
    </row>
    <row r="59" spans="1:27" ht="15" customHeight="1">
      <c r="A59" s="224"/>
      <c r="B59" s="225"/>
      <c r="C59" s="226"/>
      <c r="D59" s="225"/>
      <c r="E59" s="247"/>
      <c r="F59" s="248" t="s">
        <v>1964</v>
      </c>
      <c r="G59" s="252">
        <f>P58</f>
        <v>14318000</v>
      </c>
      <c r="H59" s="240" t="s">
        <v>1881</v>
      </c>
      <c r="I59" s="1991">
        <v>6.5500000000000003E-2</v>
      </c>
      <c r="J59" s="1991"/>
      <c r="K59" s="242"/>
      <c r="L59" s="243"/>
      <c r="M59" s="242"/>
      <c r="N59" s="244"/>
      <c r="O59" s="244" t="s">
        <v>1897</v>
      </c>
      <c r="P59" s="245">
        <f>ROUNDUP(G59*I59,-3)</f>
        <v>938000</v>
      </c>
      <c r="Q59" s="235"/>
      <c r="R59" s="997"/>
      <c r="S59" s="235"/>
      <c r="T59" s="246"/>
    </row>
    <row r="60" spans="1:27" ht="15" customHeight="1">
      <c r="A60" s="224"/>
      <c r="B60" s="225"/>
      <c r="C60" s="226"/>
      <c r="D60" s="225"/>
      <c r="E60" s="247"/>
      <c r="F60" s="248" t="s">
        <v>1965</v>
      </c>
      <c r="G60" s="252">
        <v>467908000</v>
      </c>
      <c r="H60" s="240" t="s">
        <v>1881</v>
      </c>
      <c r="I60" s="1991">
        <v>8.9999999999999993E-3</v>
      </c>
      <c r="J60" s="1991"/>
      <c r="K60" s="242"/>
      <c r="L60" s="243"/>
      <c r="M60" s="242"/>
      <c r="N60" s="244"/>
      <c r="O60" s="244" t="s">
        <v>1897</v>
      </c>
      <c r="P60" s="245">
        <f>ROUNDUP(G60*I60,-3)</f>
        <v>4212000</v>
      </c>
      <c r="Q60" s="235"/>
      <c r="R60" s="997"/>
      <c r="S60" s="235"/>
      <c r="T60" s="246"/>
    </row>
    <row r="61" spans="1:27" ht="15" customHeight="1">
      <c r="A61" s="224"/>
      <c r="B61" s="225"/>
      <c r="C61" s="226"/>
      <c r="D61" s="225"/>
      <c r="E61" s="247"/>
      <c r="F61" s="248" t="s">
        <v>1966</v>
      </c>
      <c r="G61" s="252">
        <v>467908000</v>
      </c>
      <c r="H61" s="240" t="s">
        <v>1881</v>
      </c>
      <c r="I61" s="1991">
        <v>8.9999999999999993E-3</v>
      </c>
      <c r="J61" s="1991"/>
      <c r="K61" s="242"/>
      <c r="L61" s="243"/>
      <c r="M61" s="242"/>
      <c r="N61" s="244"/>
      <c r="O61" s="244" t="s">
        <v>1882</v>
      </c>
      <c r="P61" s="245">
        <f>ROUNDUP(G61*I61,-3)</f>
        <v>4212000</v>
      </c>
      <c r="Q61" s="235"/>
      <c r="R61" s="997"/>
      <c r="S61" s="235"/>
      <c r="T61" s="246"/>
    </row>
    <row r="62" spans="1:27" ht="15" customHeight="1">
      <c r="A62" s="224"/>
      <c r="B62" s="225"/>
      <c r="C62" s="226"/>
      <c r="D62" s="225"/>
      <c r="E62" s="66" t="s">
        <v>1967</v>
      </c>
      <c r="F62" s="227"/>
      <c r="G62" s="228"/>
      <c r="H62" s="66"/>
      <c r="I62" s="66"/>
      <c r="J62" s="66"/>
      <c r="K62" s="66"/>
      <c r="L62" s="229"/>
      <c r="M62" s="66"/>
      <c r="N62" s="230"/>
      <c r="O62" s="230"/>
      <c r="P62" s="66"/>
      <c r="Q62" s="171">
        <f>SUM(P63+P66+P68)</f>
        <v>18450000</v>
      </c>
      <c r="R62" s="171">
        <v>0</v>
      </c>
      <c r="S62" s="171">
        <f>Q62-R62</f>
        <v>18450000</v>
      </c>
      <c r="T62" s="172">
        <v>1</v>
      </c>
      <c r="V62" s="195"/>
      <c r="X62" s="275">
        <f>V62-Q62</f>
        <v>-18450000</v>
      </c>
    </row>
    <row r="63" spans="1:27" ht="15" customHeight="1">
      <c r="A63" s="224"/>
      <c r="B63" s="225"/>
      <c r="C63" s="226"/>
      <c r="D63" s="225"/>
      <c r="E63" s="226"/>
      <c r="F63" s="231" t="s">
        <v>1968</v>
      </c>
      <c r="G63" s="249"/>
      <c r="H63" s="240"/>
      <c r="I63" s="240"/>
      <c r="J63" s="240"/>
      <c r="K63" s="240"/>
      <c r="L63" s="250"/>
      <c r="M63" s="240"/>
      <c r="N63" s="244"/>
      <c r="O63" s="244"/>
      <c r="P63" s="1061">
        <f>SUM(P64:P65)</f>
        <v>2250000</v>
      </c>
      <c r="Q63" s="235"/>
      <c r="R63" s="997"/>
      <c r="S63" s="235"/>
      <c r="T63" s="246"/>
    </row>
    <row r="64" spans="1:27" ht="15" customHeight="1">
      <c r="A64" s="224"/>
      <c r="B64" s="225"/>
      <c r="C64" s="226"/>
      <c r="D64" s="225"/>
      <c r="E64" s="237"/>
      <c r="F64" s="238" t="s">
        <v>1969</v>
      </c>
      <c r="G64" s="252">
        <v>75000</v>
      </c>
      <c r="H64" s="240" t="s">
        <v>1881</v>
      </c>
      <c r="I64" s="242">
        <v>10</v>
      </c>
      <c r="J64" s="240"/>
      <c r="K64" s="242"/>
      <c r="L64" s="243"/>
      <c r="M64" s="242"/>
      <c r="N64" s="244"/>
      <c r="O64" s="244" t="s">
        <v>1922</v>
      </c>
      <c r="P64" s="245">
        <f>ROUNDUP(G64*I64,-3)</f>
        <v>750000</v>
      </c>
      <c r="Q64" s="235"/>
      <c r="R64" s="997"/>
      <c r="S64" s="235"/>
      <c r="T64" s="246"/>
    </row>
    <row r="65" spans="1:23" ht="15" customHeight="1">
      <c r="A65" s="224"/>
      <c r="B65" s="225"/>
      <c r="C65" s="226"/>
      <c r="D65" s="225"/>
      <c r="E65" s="237"/>
      <c r="F65" s="238" t="s">
        <v>2545</v>
      </c>
      <c r="G65" s="252">
        <v>150000</v>
      </c>
      <c r="H65" s="240" t="s">
        <v>1881</v>
      </c>
      <c r="I65" s="242">
        <v>10</v>
      </c>
      <c r="J65" s="240"/>
      <c r="K65" s="242"/>
      <c r="L65" s="243"/>
      <c r="M65" s="242"/>
      <c r="N65" s="244"/>
      <c r="O65" s="244" t="s">
        <v>274</v>
      </c>
      <c r="P65" s="245">
        <f>ROUNDUP(G65*I65,-3)</f>
        <v>1500000</v>
      </c>
      <c r="Q65" s="235"/>
      <c r="R65" s="997"/>
      <c r="S65" s="235"/>
      <c r="T65" s="246"/>
    </row>
    <row r="66" spans="1:23" ht="15" customHeight="1">
      <c r="A66" s="224"/>
      <c r="B66" s="225"/>
      <c r="C66" s="226"/>
      <c r="D66" s="225"/>
      <c r="E66" s="226"/>
      <c r="F66" s="231" t="s">
        <v>1970</v>
      </c>
      <c r="G66" s="249"/>
      <c r="H66" s="240"/>
      <c r="I66" s="240"/>
      <c r="J66" s="240"/>
      <c r="K66" s="240"/>
      <c r="L66" s="250"/>
      <c r="M66" s="240"/>
      <c r="N66" s="244"/>
      <c r="O66" s="244"/>
      <c r="P66" s="1061">
        <f>SUM(P67:P67)</f>
        <v>14070000</v>
      </c>
      <c r="Q66" s="235"/>
      <c r="R66" s="997"/>
      <c r="S66" s="235"/>
      <c r="T66" s="246"/>
      <c r="W66" s="275"/>
    </row>
    <row r="67" spans="1:23" ht="15" customHeight="1">
      <c r="A67" s="224"/>
      <c r="B67" s="225"/>
      <c r="C67" s="226"/>
      <c r="D67" s="225"/>
      <c r="E67" s="237"/>
      <c r="F67" s="238" t="s">
        <v>1971</v>
      </c>
      <c r="G67" s="252">
        <v>1407000</v>
      </c>
      <c r="H67" s="240" t="s">
        <v>1881</v>
      </c>
      <c r="I67" s="242">
        <v>10</v>
      </c>
      <c r="J67" s="240"/>
      <c r="K67" s="242"/>
      <c r="L67" s="243"/>
      <c r="M67" s="242"/>
      <c r="N67" s="244"/>
      <c r="O67" s="244" t="s">
        <v>1897</v>
      </c>
      <c r="P67" s="245">
        <f>ROUNDUP(G67*I67,-3)</f>
        <v>14070000</v>
      </c>
      <c r="Q67" s="235"/>
      <c r="R67" s="997"/>
      <c r="S67" s="235"/>
      <c r="T67" s="246"/>
    </row>
    <row r="68" spans="1:23" ht="15" customHeight="1">
      <c r="A68" s="224"/>
      <c r="B68" s="225"/>
      <c r="C68" s="226"/>
      <c r="D68" s="225"/>
      <c r="E68" s="226"/>
      <c r="F68" s="231" t="s">
        <v>1972</v>
      </c>
      <c r="G68" s="249"/>
      <c r="H68" s="240"/>
      <c r="I68" s="240"/>
      <c r="J68" s="240"/>
      <c r="K68" s="240"/>
      <c r="L68" s="250"/>
      <c r="M68" s="240"/>
      <c r="N68" s="244"/>
      <c r="O68" s="244"/>
      <c r="P68" s="1061">
        <f>SUM(P69:P72)</f>
        <v>2130000</v>
      </c>
      <c r="Q68" s="235"/>
      <c r="R68" s="997"/>
      <c r="S68" s="235"/>
      <c r="T68" s="246"/>
    </row>
    <row r="69" spans="1:23" ht="15" customHeight="1">
      <c r="A69" s="224"/>
      <c r="B69" s="225"/>
      <c r="C69" s="226"/>
      <c r="D69" s="225"/>
      <c r="E69" s="237"/>
      <c r="F69" s="238" t="s">
        <v>1973</v>
      </c>
      <c r="G69" s="252">
        <v>50000</v>
      </c>
      <c r="H69" s="240" t="s">
        <v>1921</v>
      </c>
      <c r="I69" s="256">
        <v>1</v>
      </c>
      <c r="J69" s="240"/>
      <c r="K69" s="242"/>
      <c r="L69" s="243"/>
      <c r="M69" s="242"/>
      <c r="N69" s="244"/>
      <c r="O69" s="244" t="s">
        <v>1897</v>
      </c>
      <c r="P69" s="245">
        <f>ROUNDUP(G69*I69,-3)</f>
        <v>50000</v>
      </c>
      <c r="Q69" s="235"/>
      <c r="R69" s="997"/>
      <c r="S69" s="235"/>
      <c r="T69" s="246"/>
    </row>
    <row r="70" spans="1:23" ht="15" customHeight="1">
      <c r="A70" s="224"/>
      <c r="B70" s="225"/>
      <c r="C70" s="226"/>
      <c r="D70" s="225"/>
      <c r="E70" s="237"/>
      <c r="F70" s="238" t="s">
        <v>1974</v>
      </c>
      <c r="G70" s="252">
        <v>100000</v>
      </c>
      <c r="H70" s="240" t="s">
        <v>1881</v>
      </c>
      <c r="I70" s="256">
        <v>1</v>
      </c>
      <c r="J70" s="240"/>
      <c r="K70" s="242"/>
      <c r="L70" s="243"/>
      <c r="M70" s="242"/>
      <c r="N70" s="244"/>
      <c r="O70" s="244" t="s">
        <v>1922</v>
      </c>
      <c r="P70" s="245">
        <f>ROUNDUP(G70*I70,-3)</f>
        <v>100000</v>
      </c>
      <c r="Q70" s="235"/>
      <c r="R70" s="997"/>
      <c r="S70" s="235"/>
      <c r="T70" s="246"/>
    </row>
    <row r="71" spans="1:23" ht="15" customHeight="1">
      <c r="A71" s="224"/>
      <c r="B71" s="225"/>
      <c r="C71" s="226"/>
      <c r="D71" s="225"/>
      <c r="E71" s="237"/>
      <c r="F71" s="238" t="s">
        <v>1975</v>
      </c>
      <c r="G71" s="252">
        <v>1100000</v>
      </c>
      <c r="H71" s="240" t="s">
        <v>1881</v>
      </c>
      <c r="I71" s="256">
        <v>1</v>
      </c>
      <c r="J71" s="240"/>
      <c r="K71" s="242"/>
      <c r="L71" s="243"/>
      <c r="M71" s="242"/>
      <c r="N71" s="244"/>
      <c r="O71" s="244" t="s">
        <v>1897</v>
      </c>
      <c r="P71" s="245">
        <f>ROUNDUP(G71*I71,-3)</f>
        <v>1100000</v>
      </c>
      <c r="Q71" s="235"/>
      <c r="R71" s="997"/>
      <c r="S71" s="235"/>
      <c r="T71" s="246"/>
    </row>
    <row r="72" spans="1:23" ht="15" customHeight="1">
      <c r="A72" s="576"/>
      <c r="B72" s="278"/>
      <c r="C72" s="279"/>
      <c r="D72" s="278"/>
      <c r="E72" s="577"/>
      <c r="F72" s="578" t="s">
        <v>1976</v>
      </c>
      <c r="G72" s="579">
        <v>880000</v>
      </c>
      <c r="H72" s="283" t="s">
        <v>1921</v>
      </c>
      <c r="I72" s="592">
        <v>1</v>
      </c>
      <c r="J72" s="283"/>
      <c r="K72" s="284"/>
      <c r="L72" s="1402"/>
      <c r="M72" s="284"/>
      <c r="N72" s="285"/>
      <c r="O72" s="285" t="s">
        <v>1897</v>
      </c>
      <c r="P72" s="286">
        <f>ROUNDUP(G72*I72,-3)</f>
        <v>880000</v>
      </c>
      <c r="Q72" s="287"/>
      <c r="R72" s="1027"/>
      <c r="S72" s="287"/>
      <c r="T72" s="288"/>
    </row>
    <row r="73" spans="1:23" ht="15" customHeight="1">
      <c r="A73" s="224"/>
      <c r="B73" s="225"/>
      <c r="C73" s="226"/>
      <c r="D73" s="225"/>
      <c r="E73" s="363" t="s">
        <v>1977</v>
      </c>
      <c r="F73" s="364"/>
      <c r="G73" s="365"/>
      <c r="H73" s="363"/>
      <c r="I73" s="363"/>
      <c r="J73" s="363"/>
      <c r="K73" s="363"/>
      <c r="L73" s="366"/>
      <c r="M73" s="363"/>
      <c r="N73" s="367"/>
      <c r="O73" s="367"/>
      <c r="P73" s="363"/>
      <c r="Q73" s="188">
        <f>P74</f>
        <v>52600000</v>
      </c>
      <c r="R73" s="188">
        <v>0</v>
      </c>
      <c r="S73" s="188">
        <f>Q73-R73</f>
        <v>52600000</v>
      </c>
      <c r="T73" s="570">
        <v>1</v>
      </c>
    </row>
    <row r="74" spans="1:23" ht="15" customHeight="1">
      <c r="A74" s="224"/>
      <c r="B74" s="225"/>
      <c r="C74" s="226"/>
      <c r="D74" s="225"/>
      <c r="E74" s="226"/>
      <c r="F74" s="231" t="s">
        <v>1978</v>
      </c>
      <c r="G74" s="249"/>
      <c r="H74" s="240"/>
      <c r="I74" s="240"/>
      <c r="J74" s="240"/>
      <c r="K74" s="240"/>
      <c r="L74" s="250"/>
      <c r="M74" s="240"/>
      <c r="N74" s="244"/>
      <c r="O74" s="244"/>
      <c r="P74" s="1061">
        <f>SUM(P75:P77)</f>
        <v>52600000</v>
      </c>
      <c r="Q74" s="235"/>
      <c r="R74" s="997"/>
      <c r="S74" s="235"/>
      <c r="T74" s="246"/>
    </row>
    <row r="75" spans="1:23" ht="15" customHeight="1">
      <c r="A75" s="224"/>
      <c r="B75" s="225"/>
      <c r="C75" s="226"/>
      <c r="D75" s="225"/>
      <c r="E75" s="237"/>
      <c r="F75" s="238" t="s">
        <v>998</v>
      </c>
      <c r="G75" s="252">
        <v>190</v>
      </c>
      <c r="H75" s="240" t="s">
        <v>1921</v>
      </c>
      <c r="I75" s="242">
        <v>10</v>
      </c>
      <c r="J75" s="240" t="s">
        <v>109</v>
      </c>
      <c r="K75" s="2001">
        <v>19000</v>
      </c>
      <c r="L75" s="2001"/>
      <c r="M75" s="242"/>
      <c r="N75" s="244"/>
      <c r="O75" s="244" t="s">
        <v>1897</v>
      </c>
      <c r="P75" s="245">
        <f>G75*I75*K75</f>
        <v>36100000</v>
      </c>
      <c r="Q75" s="235"/>
      <c r="R75" s="997"/>
      <c r="S75" s="235"/>
      <c r="T75" s="246"/>
    </row>
    <row r="76" spans="1:23" ht="15" customHeight="1">
      <c r="A76" s="224"/>
      <c r="B76" s="225"/>
      <c r="C76" s="226"/>
      <c r="D76" s="225"/>
      <c r="E76" s="247"/>
      <c r="F76" s="248" t="s">
        <v>2560</v>
      </c>
      <c r="G76" s="249">
        <v>1250000</v>
      </c>
      <c r="H76" s="240" t="s">
        <v>1921</v>
      </c>
      <c r="I76" s="242">
        <v>10</v>
      </c>
      <c r="J76" s="240"/>
      <c r="K76" s="242"/>
      <c r="L76" s="243"/>
      <c r="M76" s="242"/>
      <c r="N76" s="244"/>
      <c r="O76" s="244" t="s">
        <v>1897</v>
      </c>
      <c r="P76" s="245">
        <f>ROUNDUP(G76*I76,-3)</f>
        <v>12500000</v>
      </c>
      <c r="Q76" s="235"/>
      <c r="R76" s="997"/>
      <c r="S76" s="235"/>
      <c r="T76" s="246"/>
    </row>
    <row r="77" spans="1:23" ht="15" customHeight="1">
      <c r="A77" s="224"/>
      <c r="B77" s="225"/>
      <c r="C77" s="226"/>
      <c r="D77" s="225"/>
      <c r="E77" s="247"/>
      <c r="F77" s="248" t="s">
        <v>2561</v>
      </c>
      <c r="G77" s="249">
        <v>400000</v>
      </c>
      <c r="H77" s="240" t="s">
        <v>1881</v>
      </c>
      <c r="I77" s="242">
        <v>10</v>
      </c>
      <c r="J77" s="240"/>
      <c r="K77" s="242"/>
      <c r="L77" s="243"/>
      <c r="M77" s="242"/>
      <c r="N77" s="244"/>
      <c r="O77" s="244" t="s">
        <v>1897</v>
      </c>
      <c r="P77" s="245">
        <f>ROUNDUP(G77*I77,-3)</f>
        <v>4000000</v>
      </c>
      <c r="Q77" s="235"/>
      <c r="R77" s="997"/>
      <c r="S77" s="235"/>
      <c r="T77" s="246"/>
    </row>
    <row r="78" spans="1:23" ht="15" customHeight="1">
      <c r="A78" s="224"/>
      <c r="B78" s="225"/>
      <c r="C78" s="226"/>
      <c r="D78" s="225"/>
      <c r="E78" s="66" t="s">
        <v>1979</v>
      </c>
      <c r="F78" s="227"/>
      <c r="G78" s="228"/>
      <c r="H78" s="66"/>
      <c r="I78" s="66"/>
      <c r="J78" s="66"/>
      <c r="K78" s="66"/>
      <c r="L78" s="229"/>
      <c r="M78" s="66"/>
      <c r="N78" s="230"/>
      <c r="O78" s="230"/>
      <c r="P78" s="66"/>
      <c r="Q78" s="171">
        <f>P79+P82</f>
        <v>6000000</v>
      </c>
      <c r="R78" s="171">
        <v>0</v>
      </c>
      <c r="S78" s="171">
        <f>Q78-R78</f>
        <v>6000000</v>
      </c>
      <c r="T78" s="172">
        <v>1</v>
      </c>
      <c r="W78" s="275"/>
    </row>
    <row r="79" spans="1:23" ht="15" customHeight="1">
      <c r="A79" s="224"/>
      <c r="B79" s="225"/>
      <c r="C79" s="226"/>
      <c r="D79" s="225"/>
      <c r="E79" s="226"/>
      <c r="F79" s="231" t="s">
        <v>1980</v>
      </c>
      <c r="G79" s="249"/>
      <c r="H79" s="240"/>
      <c r="I79" s="240"/>
      <c r="J79" s="240"/>
      <c r="K79" s="240"/>
      <c r="L79" s="250"/>
      <c r="M79" s="240"/>
      <c r="N79" s="244"/>
      <c r="O79" s="244"/>
      <c r="P79" s="1061">
        <f>SUM(P80:P81)</f>
        <v>3500000</v>
      </c>
      <c r="Q79" s="235"/>
      <c r="R79" s="997"/>
      <c r="S79" s="235"/>
      <c r="T79" s="246"/>
    </row>
    <row r="80" spans="1:23" ht="15" customHeight="1">
      <c r="A80" s="224"/>
      <c r="B80" s="225"/>
      <c r="C80" s="226"/>
      <c r="D80" s="225"/>
      <c r="E80" s="237"/>
      <c r="F80" s="238" t="s">
        <v>1981</v>
      </c>
      <c r="G80" s="252">
        <v>500000</v>
      </c>
      <c r="H80" s="240" t="s">
        <v>1921</v>
      </c>
      <c r="I80" s="256">
        <v>4</v>
      </c>
      <c r="J80" s="240"/>
      <c r="K80" s="242"/>
      <c r="L80" s="243"/>
      <c r="M80" s="242"/>
      <c r="N80" s="244"/>
      <c r="O80" s="244" t="s">
        <v>1922</v>
      </c>
      <c r="P80" s="245">
        <f>ROUNDUP(G80*I80,-3)</f>
        <v>2000000</v>
      </c>
      <c r="Q80" s="235"/>
      <c r="R80" s="997"/>
      <c r="S80" s="235"/>
      <c r="T80" s="246"/>
      <c r="W80" s="275"/>
    </row>
    <row r="81" spans="1:23" ht="15" customHeight="1">
      <c r="A81" s="224"/>
      <c r="B81" s="225"/>
      <c r="C81" s="226"/>
      <c r="D81" s="225"/>
      <c r="E81" s="247"/>
      <c r="F81" s="248" t="s">
        <v>1982</v>
      </c>
      <c r="G81" s="249">
        <v>150000</v>
      </c>
      <c r="H81" s="240" t="s">
        <v>1921</v>
      </c>
      <c r="I81" s="256">
        <v>10</v>
      </c>
      <c r="J81" s="240"/>
      <c r="K81" s="242"/>
      <c r="L81" s="243"/>
      <c r="M81" s="242"/>
      <c r="N81" s="244"/>
      <c r="O81" s="244" t="s">
        <v>1922</v>
      </c>
      <c r="P81" s="245">
        <f>ROUNDUP(G81*I81,-3)</f>
        <v>1500000</v>
      </c>
      <c r="Q81" s="235"/>
      <c r="R81" s="997"/>
      <c r="S81" s="235"/>
      <c r="T81" s="246"/>
    </row>
    <row r="82" spans="1:23" ht="15" customHeight="1">
      <c r="A82" s="224"/>
      <c r="B82" s="225"/>
      <c r="C82" s="226"/>
      <c r="D82" s="225"/>
      <c r="E82" s="521"/>
      <c r="F82" s="231" t="s">
        <v>1983</v>
      </c>
      <c r="G82" s="232"/>
      <c r="H82" s="226"/>
      <c r="I82" s="226"/>
      <c r="J82" s="226"/>
      <c r="K82" s="226"/>
      <c r="L82" s="1386"/>
      <c r="M82" s="226"/>
      <c r="N82" s="233"/>
      <c r="O82" s="233"/>
      <c r="P82" s="1580">
        <f>SUM(P83:P83)</f>
        <v>2500000</v>
      </c>
      <c r="Q82" s="235"/>
      <c r="R82" s="997"/>
      <c r="S82" s="235"/>
      <c r="T82" s="246"/>
    </row>
    <row r="83" spans="1:23" ht="15" customHeight="1">
      <c r="A83" s="224"/>
      <c r="B83" s="225"/>
      <c r="C83" s="226"/>
      <c r="D83" s="225"/>
      <c r="E83" s="1400"/>
      <c r="F83" s="578" t="s">
        <v>2455</v>
      </c>
      <c r="G83" s="1581">
        <v>250000</v>
      </c>
      <c r="H83" s="279" t="s">
        <v>1921</v>
      </c>
      <c r="I83" s="1582">
        <v>10</v>
      </c>
      <c r="J83" s="279"/>
      <c r="K83" s="1582"/>
      <c r="L83" s="1583"/>
      <c r="M83" s="1582"/>
      <c r="N83" s="1584"/>
      <c r="O83" s="1584" t="s">
        <v>1922</v>
      </c>
      <c r="P83" s="1585">
        <f>ROUNDUP(G83*I83,-3)</f>
        <v>2500000</v>
      </c>
      <c r="Q83" s="287"/>
      <c r="R83" s="1027"/>
      <c r="S83" s="287"/>
      <c r="T83" s="288"/>
    </row>
    <row r="84" spans="1:23" ht="15" customHeight="1">
      <c r="A84" s="224"/>
      <c r="B84" s="225"/>
      <c r="C84" s="226"/>
      <c r="D84" s="225"/>
      <c r="E84" s="363" t="s">
        <v>1984</v>
      </c>
      <c r="F84" s="364"/>
      <c r="G84" s="365"/>
      <c r="H84" s="363"/>
      <c r="I84" s="363"/>
      <c r="J84" s="363"/>
      <c r="K84" s="363"/>
      <c r="L84" s="366"/>
      <c r="M84" s="363"/>
      <c r="N84" s="367"/>
      <c r="O84" s="367"/>
      <c r="P84" s="363"/>
      <c r="Q84" s="188">
        <f>+P85</f>
        <v>1800000</v>
      </c>
      <c r="R84" s="188">
        <v>0</v>
      </c>
      <c r="S84" s="188">
        <f>Q84-R84</f>
        <v>1800000</v>
      </c>
      <c r="T84" s="570">
        <v>1</v>
      </c>
    </row>
    <row r="85" spans="1:23" ht="15" customHeight="1">
      <c r="A85" s="224"/>
      <c r="B85" s="225"/>
      <c r="C85" s="226"/>
      <c r="D85" s="225"/>
      <c r="E85" s="226"/>
      <c r="F85" s="231" t="s">
        <v>1985</v>
      </c>
      <c r="G85" s="249"/>
      <c r="H85" s="240"/>
      <c r="I85" s="240"/>
      <c r="J85" s="240"/>
      <c r="K85" s="240"/>
      <c r="L85" s="250"/>
      <c r="M85" s="240"/>
      <c r="N85" s="244"/>
      <c r="O85" s="244"/>
      <c r="P85" s="1061">
        <f>SUM(P86:P86)</f>
        <v>1800000</v>
      </c>
      <c r="Q85" s="235"/>
      <c r="R85" s="997"/>
      <c r="S85" s="235"/>
      <c r="T85" s="246"/>
      <c r="W85" s="275"/>
    </row>
    <row r="86" spans="1:23" ht="15" customHeight="1">
      <c r="A86" s="224"/>
      <c r="B86" s="225"/>
      <c r="C86" s="226"/>
      <c r="D86" s="225"/>
      <c r="E86" s="237"/>
      <c r="F86" s="238" t="s">
        <v>1986</v>
      </c>
      <c r="G86" s="252">
        <v>900000</v>
      </c>
      <c r="H86" s="240" t="s">
        <v>1921</v>
      </c>
      <c r="I86" s="142">
        <v>2</v>
      </c>
      <c r="J86" s="240"/>
      <c r="K86" s="242"/>
      <c r="L86" s="243"/>
      <c r="M86" s="242"/>
      <c r="N86" s="244"/>
      <c r="O86" s="244" t="s">
        <v>1922</v>
      </c>
      <c r="P86" s="245">
        <f>ROUNDUP(G86*I86,-3)</f>
        <v>1800000</v>
      </c>
      <c r="Q86" s="235"/>
      <c r="R86" s="997"/>
      <c r="S86" s="235"/>
      <c r="T86" s="246"/>
      <c r="V86" s="275">
        <f>G86/2</f>
        <v>450000</v>
      </c>
    </row>
    <row r="87" spans="1:23" ht="15" customHeight="1">
      <c r="A87" s="224"/>
      <c r="B87" s="225"/>
      <c r="C87" s="226"/>
      <c r="D87" s="225"/>
      <c r="E87" s="66" t="s">
        <v>1987</v>
      </c>
      <c r="F87" s="227"/>
      <c r="G87" s="228"/>
      <c r="H87" s="66"/>
      <c r="I87" s="66"/>
      <c r="J87" s="66"/>
      <c r="K87" s="66"/>
      <c r="L87" s="229"/>
      <c r="M87" s="66"/>
      <c r="N87" s="230"/>
      <c r="O87" s="230"/>
      <c r="P87" s="66"/>
      <c r="Q87" s="171">
        <f>+P88</f>
        <v>10970000</v>
      </c>
      <c r="R87" s="171">
        <v>0</v>
      </c>
      <c r="S87" s="171">
        <f>Q87-R87</f>
        <v>10970000</v>
      </c>
      <c r="T87" s="172">
        <v>1</v>
      </c>
    </row>
    <row r="88" spans="1:23" ht="15" customHeight="1">
      <c r="A88" s="224"/>
      <c r="B88" s="225"/>
      <c r="C88" s="226"/>
      <c r="D88" s="225"/>
      <c r="E88" s="226"/>
      <c r="F88" s="231" t="s">
        <v>405</v>
      </c>
      <c r="G88" s="249"/>
      <c r="H88" s="240"/>
      <c r="I88" s="240"/>
      <c r="J88" s="240"/>
      <c r="K88" s="240"/>
      <c r="L88" s="250"/>
      <c r="M88" s="240"/>
      <c r="N88" s="244"/>
      <c r="O88" s="244"/>
      <c r="P88" s="1061">
        <f>SUM(P89:P92)</f>
        <v>10970000</v>
      </c>
      <c r="Q88" s="235"/>
      <c r="R88" s="997"/>
      <c r="S88" s="235"/>
      <c r="T88" s="246"/>
    </row>
    <row r="89" spans="1:23" ht="15" customHeight="1">
      <c r="A89" s="224"/>
      <c r="B89" s="225"/>
      <c r="C89" s="226"/>
      <c r="D89" s="225"/>
      <c r="E89" s="237"/>
      <c r="F89" s="238" t="s">
        <v>1988</v>
      </c>
      <c r="G89" s="252">
        <v>300000</v>
      </c>
      <c r="H89" s="240" t="s">
        <v>1880</v>
      </c>
      <c r="I89" s="1552">
        <v>1</v>
      </c>
      <c r="J89" s="240" t="s">
        <v>109</v>
      </c>
      <c r="K89" s="242">
        <v>10</v>
      </c>
      <c r="L89" s="243"/>
      <c r="M89" s="242"/>
      <c r="N89" s="244"/>
      <c r="O89" s="244" t="s">
        <v>281</v>
      </c>
      <c r="P89" s="245">
        <f>ROUNDUP(G89*I89*K89,-3)</f>
        <v>3000000</v>
      </c>
      <c r="Q89" s="235"/>
      <c r="R89" s="997"/>
      <c r="S89" s="235"/>
      <c r="T89" s="246"/>
    </row>
    <row r="90" spans="1:23" ht="15" customHeight="1">
      <c r="A90" s="224"/>
      <c r="B90" s="225"/>
      <c r="C90" s="226"/>
      <c r="D90" s="225"/>
      <c r="E90" s="247"/>
      <c r="F90" s="248" t="s">
        <v>407</v>
      </c>
      <c r="G90" s="249">
        <v>550000</v>
      </c>
      <c r="H90" s="240" t="s">
        <v>282</v>
      </c>
      <c r="I90" s="1552">
        <v>1</v>
      </c>
      <c r="J90" s="240" t="s">
        <v>109</v>
      </c>
      <c r="K90" s="242">
        <v>10</v>
      </c>
      <c r="L90" s="243"/>
      <c r="M90" s="242"/>
      <c r="N90" s="244"/>
      <c r="O90" s="244" t="s">
        <v>1882</v>
      </c>
      <c r="P90" s="245">
        <f>ROUNDUP(G90*I90*K90,-3)</f>
        <v>5500000</v>
      </c>
      <c r="Q90" s="235"/>
      <c r="R90" s="997"/>
      <c r="S90" s="235"/>
      <c r="T90" s="246"/>
      <c r="W90" s="275"/>
    </row>
    <row r="91" spans="1:23" ht="15" customHeight="1">
      <c r="A91" s="224"/>
      <c r="B91" s="225"/>
      <c r="C91" s="226"/>
      <c r="D91" s="225"/>
      <c r="E91" s="247"/>
      <c r="F91" s="248" t="s">
        <v>1989</v>
      </c>
      <c r="G91" s="249">
        <v>25000</v>
      </c>
      <c r="H91" s="240" t="s">
        <v>282</v>
      </c>
      <c r="I91" s="1552">
        <v>1</v>
      </c>
      <c r="J91" s="240" t="s">
        <v>109</v>
      </c>
      <c r="K91" s="242">
        <v>10</v>
      </c>
      <c r="L91" s="243"/>
      <c r="M91" s="242"/>
      <c r="N91" s="244"/>
      <c r="O91" s="244" t="s">
        <v>281</v>
      </c>
      <c r="P91" s="245">
        <f>ROUNDUP(G91*I91*K91,-3)</f>
        <v>250000</v>
      </c>
      <c r="Q91" s="235"/>
      <c r="R91" s="997"/>
      <c r="S91" s="235"/>
      <c r="T91" s="246"/>
    </row>
    <row r="92" spans="1:23" ht="15" customHeight="1">
      <c r="A92" s="224"/>
      <c r="B92" s="225"/>
      <c r="C92" s="226"/>
      <c r="D92" s="225"/>
      <c r="E92" s="247"/>
      <c r="F92" s="248" t="s">
        <v>1990</v>
      </c>
      <c r="G92" s="249">
        <v>37000</v>
      </c>
      <c r="H92" s="240" t="s">
        <v>1880</v>
      </c>
      <c r="I92" s="1552">
        <v>6</v>
      </c>
      <c r="J92" s="240" t="s">
        <v>109</v>
      </c>
      <c r="K92" s="242">
        <v>10</v>
      </c>
      <c r="L92" s="243"/>
      <c r="M92" s="242"/>
      <c r="N92" s="244"/>
      <c r="O92" s="244" t="s">
        <v>1882</v>
      </c>
      <c r="P92" s="245">
        <f>ROUNDUP(G92*I92*K92,-3)</f>
        <v>2220000</v>
      </c>
      <c r="Q92" s="235"/>
      <c r="R92" s="997"/>
      <c r="S92" s="235"/>
      <c r="T92" s="246"/>
    </row>
    <row r="93" spans="1:23" ht="15" customHeight="1">
      <c r="A93" s="224"/>
      <c r="B93" s="225"/>
      <c r="C93" s="226"/>
      <c r="D93" s="225"/>
      <c r="E93" s="66" t="s">
        <v>1991</v>
      </c>
      <c r="F93" s="227"/>
      <c r="G93" s="228"/>
      <c r="H93" s="66"/>
      <c r="I93" s="66"/>
      <c r="J93" s="66"/>
      <c r="K93" s="66"/>
      <c r="L93" s="229"/>
      <c r="M93" s="66"/>
      <c r="N93" s="230"/>
      <c r="O93" s="230"/>
      <c r="P93" s="66"/>
      <c r="Q93" s="171">
        <f>+P94</f>
        <v>77700000</v>
      </c>
      <c r="R93" s="171">
        <v>0</v>
      </c>
      <c r="S93" s="171">
        <f>Q93-R93</f>
        <v>77700000</v>
      </c>
      <c r="T93" s="172">
        <v>1</v>
      </c>
      <c r="V93" s="240"/>
      <c r="W93" s="245"/>
    </row>
    <row r="94" spans="1:23" ht="15" customHeight="1">
      <c r="A94" s="224"/>
      <c r="B94" s="225"/>
      <c r="C94" s="226"/>
      <c r="D94" s="225"/>
      <c r="E94" s="226"/>
      <c r="F94" s="96" t="s">
        <v>674</v>
      </c>
      <c r="G94" s="123"/>
      <c r="H94" s="106"/>
      <c r="I94" s="106"/>
      <c r="J94" s="106"/>
      <c r="K94" s="106"/>
      <c r="L94" s="124"/>
      <c r="M94" s="106"/>
      <c r="N94" s="110"/>
      <c r="O94" s="110"/>
      <c r="P94" s="938">
        <f>SUM(P95:P104)</f>
        <v>77700000</v>
      </c>
      <c r="Q94" s="235"/>
      <c r="R94" s="997"/>
      <c r="S94" s="235"/>
      <c r="T94" s="246"/>
      <c r="V94" s="249"/>
      <c r="W94" s="240"/>
    </row>
    <row r="95" spans="1:23" ht="15" customHeight="1">
      <c r="A95" s="224"/>
      <c r="B95" s="225"/>
      <c r="C95" s="226"/>
      <c r="D95" s="225"/>
      <c r="E95" s="237"/>
      <c r="F95" s="126" t="s">
        <v>675</v>
      </c>
      <c r="G95" s="121">
        <v>500000</v>
      </c>
      <c r="H95" s="106" t="s">
        <v>1880</v>
      </c>
      <c r="I95" s="142">
        <v>2</v>
      </c>
      <c r="J95" s="106"/>
      <c r="K95" s="108"/>
      <c r="L95" s="109"/>
      <c r="M95" s="108"/>
      <c r="N95" s="110"/>
      <c r="O95" s="110" t="s">
        <v>1882</v>
      </c>
      <c r="P95" s="111">
        <f t="shared" ref="P95:P100" si="1">ROUNDUP(G95*I95,-3)</f>
        <v>1000000</v>
      </c>
      <c r="Q95" s="235"/>
      <c r="R95" s="997"/>
      <c r="S95" s="235"/>
      <c r="T95" s="246"/>
      <c r="V95" s="249"/>
      <c r="W95" s="240"/>
    </row>
    <row r="96" spans="1:23" ht="15" customHeight="1">
      <c r="A96" s="224"/>
      <c r="B96" s="225"/>
      <c r="C96" s="226"/>
      <c r="D96" s="225"/>
      <c r="E96" s="237"/>
      <c r="F96" s="126" t="s">
        <v>676</v>
      </c>
      <c r="G96" s="121">
        <v>880000</v>
      </c>
      <c r="H96" s="106" t="s">
        <v>1881</v>
      </c>
      <c r="I96" s="108">
        <v>10</v>
      </c>
      <c r="J96" s="106"/>
      <c r="K96" s="108"/>
      <c r="L96" s="109"/>
      <c r="M96" s="108"/>
      <c r="N96" s="110"/>
      <c r="O96" s="110" t="s">
        <v>281</v>
      </c>
      <c r="P96" s="111">
        <f t="shared" si="1"/>
        <v>8800000</v>
      </c>
      <c r="Q96" s="235"/>
      <c r="R96" s="997"/>
      <c r="S96" s="235"/>
      <c r="T96" s="246"/>
      <c r="V96" s="249"/>
      <c r="W96" s="240"/>
    </row>
    <row r="97" spans="1:23" ht="15" customHeight="1">
      <c r="A97" s="224"/>
      <c r="B97" s="225"/>
      <c r="C97" s="226"/>
      <c r="D97" s="225"/>
      <c r="E97" s="237"/>
      <c r="F97" s="126" t="s">
        <v>1992</v>
      </c>
      <c r="G97" s="121">
        <v>1750000</v>
      </c>
      <c r="H97" s="106" t="s">
        <v>1881</v>
      </c>
      <c r="I97" s="1817">
        <v>4</v>
      </c>
      <c r="J97" s="106"/>
      <c r="K97" s="108"/>
      <c r="L97" s="109"/>
      <c r="M97" s="108"/>
      <c r="N97" s="110"/>
      <c r="O97" s="110" t="s">
        <v>1882</v>
      </c>
      <c r="P97" s="111">
        <f t="shared" si="1"/>
        <v>7000000</v>
      </c>
      <c r="Q97" s="235"/>
      <c r="R97" s="997"/>
      <c r="S97" s="235"/>
      <c r="T97" s="246"/>
      <c r="V97" s="1586"/>
      <c r="W97" s="240"/>
    </row>
    <row r="98" spans="1:23" ht="15" customHeight="1">
      <c r="A98" s="224"/>
      <c r="B98" s="225"/>
      <c r="C98" s="226"/>
      <c r="D98" s="225"/>
      <c r="E98" s="237"/>
      <c r="F98" s="126" t="s">
        <v>1993</v>
      </c>
      <c r="G98" s="121">
        <v>10000000</v>
      </c>
      <c r="H98" s="106" t="s">
        <v>1880</v>
      </c>
      <c r="I98" s="1817">
        <v>4</v>
      </c>
      <c r="J98" s="106"/>
      <c r="K98" s="108"/>
      <c r="L98" s="109"/>
      <c r="M98" s="108"/>
      <c r="N98" s="110"/>
      <c r="O98" s="110" t="s">
        <v>281</v>
      </c>
      <c r="P98" s="111">
        <f t="shared" si="1"/>
        <v>40000000</v>
      </c>
      <c r="Q98" s="235"/>
      <c r="R98" s="997"/>
      <c r="S98" s="235"/>
      <c r="T98" s="246"/>
      <c r="V98" s="249"/>
      <c r="W98" s="240"/>
    </row>
    <row r="99" spans="1:23" ht="15" customHeight="1">
      <c r="A99" s="224"/>
      <c r="B99" s="225"/>
      <c r="C99" s="226"/>
      <c r="D99" s="225"/>
      <c r="E99" s="237"/>
      <c r="F99" s="126" t="s">
        <v>1994</v>
      </c>
      <c r="G99" s="121">
        <v>180000</v>
      </c>
      <c r="H99" s="106" t="s">
        <v>1880</v>
      </c>
      <c r="I99" s="108">
        <v>10</v>
      </c>
      <c r="J99" s="106"/>
      <c r="K99" s="108"/>
      <c r="L99" s="109"/>
      <c r="M99" s="108"/>
      <c r="N99" s="110"/>
      <c r="O99" s="110" t="s">
        <v>1882</v>
      </c>
      <c r="P99" s="111">
        <f t="shared" si="1"/>
        <v>1800000</v>
      </c>
      <c r="Q99" s="235"/>
      <c r="R99" s="997"/>
      <c r="S99" s="235"/>
      <c r="T99" s="246"/>
      <c r="V99" s="249"/>
      <c r="W99" s="240"/>
    </row>
    <row r="100" spans="1:23" ht="15" customHeight="1">
      <c r="A100" s="224"/>
      <c r="B100" s="225"/>
      <c r="C100" s="226"/>
      <c r="D100" s="225"/>
      <c r="E100" s="237"/>
      <c r="F100" s="126" t="s">
        <v>1030</v>
      </c>
      <c r="G100" s="121">
        <v>1250000</v>
      </c>
      <c r="H100" s="106" t="s">
        <v>282</v>
      </c>
      <c r="I100" s="1817">
        <v>4</v>
      </c>
      <c r="J100" s="106"/>
      <c r="K100" s="108"/>
      <c r="L100" s="109"/>
      <c r="M100" s="108"/>
      <c r="N100" s="110"/>
      <c r="O100" s="110" t="s">
        <v>281</v>
      </c>
      <c r="P100" s="111">
        <f t="shared" si="1"/>
        <v>5000000</v>
      </c>
      <c r="Q100" s="235"/>
      <c r="R100" s="997"/>
      <c r="S100" s="235"/>
      <c r="T100" s="246"/>
      <c r="V100" s="1586"/>
      <c r="W100" s="240"/>
    </row>
    <row r="101" spans="1:23" ht="15" customHeight="1">
      <c r="A101" s="224"/>
      <c r="B101" s="225"/>
      <c r="C101" s="226"/>
      <c r="D101" s="225"/>
      <c r="E101" s="237"/>
      <c r="F101" s="126" t="s">
        <v>1995</v>
      </c>
      <c r="G101" s="121">
        <v>110000</v>
      </c>
      <c r="H101" s="106" t="s">
        <v>1880</v>
      </c>
      <c r="I101" s="143">
        <v>2</v>
      </c>
      <c r="J101" s="106" t="s">
        <v>1880</v>
      </c>
      <c r="K101" s="108">
        <v>10</v>
      </c>
      <c r="L101" s="109"/>
      <c r="M101" s="108"/>
      <c r="N101" s="110"/>
      <c r="O101" s="110" t="s">
        <v>1882</v>
      </c>
      <c r="P101" s="111">
        <f>ROUNDUP(G101*I101*K101,-3)</f>
        <v>2200000</v>
      </c>
      <c r="Q101" s="235"/>
      <c r="R101" s="997"/>
      <c r="S101" s="235"/>
      <c r="T101" s="246"/>
      <c r="V101" s="249"/>
      <c r="W101" s="240"/>
    </row>
    <row r="102" spans="1:23" ht="15" customHeight="1">
      <c r="A102" s="224"/>
      <c r="B102" s="225"/>
      <c r="C102" s="226"/>
      <c r="D102" s="225"/>
      <c r="E102" s="237"/>
      <c r="F102" s="126" t="s">
        <v>1996</v>
      </c>
      <c r="G102" s="121">
        <v>4500000</v>
      </c>
      <c r="H102" s="106" t="s">
        <v>1881</v>
      </c>
      <c r="I102" s="142">
        <v>1</v>
      </c>
      <c r="J102" s="106"/>
      <c r="K102" s="108"/>
      <c r="L102" s="109"/>
      <c r="M102" s="108"/>
      <c r="N102" s="110"/>
      <c r="O102" s="110" t="s">
        <v>1897</v>
      </c>
      <c r="P102" s="111">
        <f>ROUNDUP(G102*I102,-3)</f>
        <v>4500000</v>
      </c>
      <c r="Q102" s="235"/>
      <c r="R102" s="997"/>
      <c r="S102" s="235"/>
      <c r="T102" s="246"/>
      <c r="V102" s="1587"/>
      <c r="W102" s="240"/>
    </row>
    <row r="103" spans="1:23" ht="15" customHeight="1">
      <c r="A103" s="224"/>
      <c r="B103" s="225"/>
      <c r="C103" s="226"/>
      <c r="D103" s="225"/>
      <c r="E103" s="237"/>
      <c r="F103" s="126" t="s">
        <v>1997</v>
      </c>
      <c r="G103" s="121">
        <v>1500000</v>
      </c>
      <c r="H103" s="106" t="s">
        <v>1881</v>
      </c>
      <c r="I103" s="1817">
        <v>4</v>
      </c>
      <c r="J103" s="106"/>
      <c r="K103" s="108"/>
      <c r="L103" s="109"/>
      <c r="M103" s="108"/>
      <c r="N103" s="110"/>
      <c r="O103" s="110" t="s">
        <v>1897</v>
      </c>
      <c r="P103" s="111">
        <f>ROUNDUP(G103*I103,-3)</f>
        <v>6000000</v>
      </c>
      <c r="Q103" s="235"/>
      <c r="R103" s="997"/>
      <c r="S103" s="235"/>
      <c r="T103" s="246"/>
      <c r="V103" s="1586"/>
      <c r="W103" s="240"/>
    </row>
    <row r="104" spans="1:23" ht="15" customHeight="1">
      <c r="A104" s="224"/>
      <c r="B104" s="225"/>
      <c r="C104" s="226"/>
      <c r="D104" s="225"/>
      <c r="E104" s="237"/>
      <c r="F104" s="126" t="s">
        <v>1998</v>
      </c>
      <c r="G104" s="121">
        <v>140000</v>
      </c>
      <c r="H104" s="106" t="s">
        <v>1881</v>
      </c>
      <c r="I104" s="108">
        <v>10</v>
      </c>
      <c r="J104" s="106"/>
      <c r="K104" s="108"/>
      <c r="L104" s="109"/>
      <c r="M104" s="108"/>
      <c r="N104" s="110"/>
      <c r="O104" s="110" t="s">
        <v>1882</v>
      </c>
      <c r="P104" s="111">
        <f>ROUNDUP(G104*I104,-3)</f>
        <v>1400000</v>
      </c>
      <c r="Q104" s="235"/>
      <c r="R104" s="997"/>
      <c r="S104" s="235"/>
      <c r="T104" s="246"/>
      <c r="V104" s="240"/>
      <c r="W104" s="240"/>
    </row>
    <row r="105" spans="1:23" ht="15" customHeight="1">
      <c r="A105" s="224"/>
      <c r="B105" s="225"/>
      <c r="C105" s="226"/>
      <c r="D105" s="225"/>
      <c r="E105" s="66" t="s">
        <v>1999</v>
      </c>
      <c r="F105" s="227"/>
      <c r="G105" s="228"/>
      <c r="H105" s="66"/>
      <c r="I105" s="66"/>
      <c r="J105" s="66"/>
      <c r="K105" s="66"/>
      <c r="L105" s="229"/>
      <c r="M105" s="66"/>
      <c r="N105" s="230"/>
      <c r="O105" s="230"/>
      <c r="P105" s="66"/>
      <c r="Q105" s="171">
        <f>+P106</f>
        <v>700000</v>
      </c>
      <c r="R105" s="171">
        <v>0</v>
      </c>
      <c r="S105" s="171">
        <f>Q105-R105</f>
        <v>700000</v>
      </c>
      <c r="T105" s="172">
        <v>1</v>
      </c>
      <c r="V105" s="240"/>
      <c r="W105" s="240"/>
    </row>
    <row r="106" spans="1:23" ht="15" customHeight="1">
      <c r="A106" s="224"/>
      <c r="B106" s="225"/>
      <c r="C106" s="226"/>
      <c r="D106" s="225"/>
      <c r="E106" s="226"/>
      <c r="F106" s="231" t="s">
        <v>2000</v>
      </c>
      <c r="G106" s="249"/>
      <c r="H106" s="240"/>
      <c r="I106" s="240"/>
      <c r="J106" s="240"/>
      <c r="K106" s="240"/>
      <c r="L106" s="250"/>
      <c r="M106" s="240"/>
      <c r="N106" s="244"/>
      <c r="O106" s="244"/>
      <c r="P106" s="1061">
        <f>SUM(P107:P107)</f>
        <v>700000</v>
      </c>
      <c r="Q106" s="235"/>
      <c r="R106" s="997"/>
      <c r="S106" s="235"/>
      <c r="T106" s="246"/>
    </row>
    <row r="107" spans="1:23" ht="15" customHeight="1">
      <c r="A107" s="576"/>
      <c r="B107" s="278"/>
      <c r="C107" s="279"/>
      <c r="D107" s="278"/>
      <c r="E107" s="577"/>
      <c r="F107" s="578" t="s">
        <v>2001</v>
      </c>
      <c r="G107" s="579">
        <v>70000</v>
      </c>
      <c r="H107" s="283" t="s">
        <v>1880</v>
      </c>
      <c r="I107" s="1588">
        <v>1</v>
      </c>
      <c r="J107" s="283" t="s">
        <v>109</v>
      </c>
      <c r="K107" s="284">
        <v>10</v>
      </c>
      <c r="L107" s="1402"/>
      <c r="M107" s="284"/>
      <c r="N107" s="285"/>
      <c r="O107" s="285" t="s">
        <v>1882</v>
      </c>
      <c r="P107" s="286">
        <f>G107*I107*K107</f>
        <v>700000</v>
      </c>
      <c r="Q107" s="287"/>
      <c r="R107" s="1027"/>
      <c r="S107" s="287"/>
      <c r="T107" s="288"/>
    </row>
    <row r="108" spans="1:23" ht="15" customHeight="1">
      <c r="A108" s="224"/>
      <c r="B108" s="225"/>
      <c r="C108" s="226"/>
      <c r="D108" s="225"/>
      <c r="E108" s="363" t="s">
        <v>2002</v>
      </c>
      <c r="F108" s="364"/>
      <c r="G108" s="365"/>
      <c r="H108" s="363"/>
      <c r="I108" s="363"/>
      <c r="J108" s="363"/>
      <c r="K108" s="363"/>
      <c r="L108" s="366"/>
      <c r="M108" s="363"/>
      <c r="N108" s="367"/>
      <c r="O108" s="367"/>
      <c r="P108" s="363"/>
      <c r="Q108" s="188">
        <f>+P109</f>
        <v>6700000</v>
      </c>
      <c r="R108" s="188">
        <v>0</v>
      </c>
      <c r="S108" s="188">
        <f>Q108-R108</f>
        <v>6700000</v>
      </c>
      <c r="T108" s="570">
        <v>1</v>
      </c>
    </row>
    <row r="109" spans="1:23" ht="15" customHeight="1">
      <c r="A109" s="224"/>
      <c r="B109" s="225"/>
      <c r="C109" s="226"/>
      <c r="D109" s="225"/>
      <c r="E109" s="257"/>
      <c r="F109" s="145" t="s">
        <v>825</v>
      </c>
      <c r="G109" s="146"/>
      <c r="H109" s="147"/>
      <c r="I109" s="147"/>
      <c r="J109" s="147"/>
      <c r="K109" s="147"/>
      <c r="L109" s="148"/>
      <c r="M109" s="147"/>
      <c r="N109" s="149"/>
      <c r="O109" s="149"/>
      <c r="P109" s="1445">
        <f>SUM(P110:P113)</f>
        <v>6700000</v>
      </c>
      <c r="Q109" s="263"/>
      <c r="R109" s="1004"/>
      <c r="S109" s="263"/>
      <c r="T109" s="264"/>
    </row>
    <row r="110" spans="1:23" ht="15" customHeight="1">
      <c r="A110" s="224"/>
      <c r="B110" s="225"/>
      <c r="C110" s="226"/>
      <c r="D110" s="225"/>
      <c r="E110" s="237"/>
      <c r="F110" s="126" t="s">
        <v>2003</v>
      </c>
      <c r="G110" s="121">
        <v>5100000</v>
      </c>
      <c r="H110" s="106" t="s">
        <v>1881</v>
      </c>
      <c r="I110" s="142">
        <v>1</v>
      </c>
      <c r="J110" s="106"/>
      <c r="K110" s="108"/>
      <c r="L110" s="109"/>
      <c r="M110" s="108"/>
      <c r="N110" s="110"/>
      <c r="O110" s="110" t="s">
        <v>1897</v>
      </c>
      <c r="P110" s="111">
        <f>ROUNDUP(G110*I110,-3)</f>
        <v>5100000</v>
      </c>
      <c r="Q110" s="235"/>
      <c r="R110" s="997"/>
      <c r="S110" s="235"/>
      <c r="T110" s="246"/>
    </row>
    <row r="111" spans="1:23" ht="15" customHeight="1">
      <c r="A111" s="224"/>
      <c r="B111" s="225"/>
      <c r="C111" s="226"/>
      <c r="D111" s="225"/>
      <c r="E111" s="247"/>
      <c r="F111" s="104" t="s">
        <v>2004</v>
      </c>
      <c r="G111" s="123">
        <v>1300000</v>
      </c>
      <c r="H111" s="106" t="s">
        <v>1881</v>
      </c>
      <c r="I111" s="142">
        <v>1</v>
      </c>
      <c r="J111" s="106"/>
      <c r="K111" s="108"/>
      <c r="L111" s="109"/>
      <c r="M111" s="108"/>
      <c r="N111" s="110"/>
      <c r="O111" s="110" t="s">
        <v>1897</v>
      </c>
      <c r="P111" s="111">
        <f>ROUNDUP(G111*I111,-3)</f>
        <v>1300000</v>
      </c>
      <c r="Q111" s="235"/>
      <c r="R111" s="997"/>
      <c r="S111" s="235"/>
      <c r="T111" s="246"/>
    </row>
    <row r="112" spans="1:23" ht="15" customHeight="1">
      <c r="A112" s="224"/>
      <c r="B112" s="225"/>
      <c r="C112" s="226"/>
      <c r="D112" s="225"/>
      <c r="E112" s="247"/>
      <c r="F112" s="104" t="s">
        <v>2005</v>
      </c>
      <c r="G112" s="123">
        <v>150000</v>
      </c>
      <c r="H112" s="106" t="s">
        <v>1880</v>
      </c>
      <c r="I112" s="142">
        <v>1</v>
      </c>
      <c r="J112" s="106"/>
      <c r="K112" s="108"/>
      <c r="L112" s="109"/>
      <c r="M112" s="108"/>
      <c r="N112" s="110"/>
      <c r="O112" s="110" t="s">
        <v>1897</v>
      </c>
      <c r="P112" s="111">
        <f>ROUNDUP(G112*I112,-3)</f>
        <v>150000</v>
      </c>
      <c r="Q112" s="235"/>
      <c r="R112" s="997"/>
      <c r="S112" s="235"/>
      <c r="T112" s="246"/>
    </row>
    <row r="113" spans="1:23" ht="15" customHeight="1">
      <c r="A113" s="224"/>
      <c r="B113" s="225"/>
      <c r="C113" s="226"/>
      <c r="D113" s="225"/>
      <c r="E113" s="247"/>
      <c r="F113" s="104" t="s">
        <v>2006</v>
      </c>
      <c r="G113" s="123">
        <v>150000</v>
      </c>
      <c r="H113" s="106" t="s">
        <v>282</v>
      </c>
      <c r="I113" s="142">
        <v>1</v>
      </c>
      <c r="J113" s="106"/>
      <c r="K113" s="108"/>
      <c r="L113" s="109"/>
      <c r="M113" s="108"/>
      <c r="N113" s="110"/>
      <c r="O113" s="110" t="s">
        <v>1897</v>
      </c>
      <c r="P113" s="111">
        <f>ROUNDUP(G113*I113,-3)</f>
        <v>150000</v>
      </c>
      <c r="Q113" s="235"/>
      <c r="R113" s="997"/>
      <c r="S113" s="235"/>
      <c r="T113" s="246"/>
    </row>
    <row r="114" spans="1:23" ht="15" customHeight="1">
      <c r="A114" s="224"/>
      <c r="B114" s="225"/>
      <c r="C114" s="226"/>
      <c r="D114" s="225"/>
      <c r="E114" s="66" t="s">
        <v>2007</v>
      </c>
      <c r="F114" s="227"/>
      <c r="G114" s="228"/>
      <c r="H114" s="66"/>
      <c r="I114" s="66"/>
      <c r="J114" s="66"/>
      <c r="K114" s="66"/>
      <c r="L114" s="229"/>
      <c r="M114" s="66"/>
      <c r="N114" s="230"/>
      <c r="O114" s="230"/>
      <c r="P114" s="66"/>
      <c r="Q114" s="171">
        <f>P115+P118</f>
        <v>5495000</v>
      </c>
      <c r="R114" s="171">
        <v>0</v>
      </c>
      <c r="S114" s="171">
        <f>Q114-R114</f>
        <v>5495000</v>
      </c>
      <c r="T114" s="172">
        <v>1</v>
      </c>
      <c r="W114" s="275"/>
    </row>
    <row r="115" spans="1:23" ht="15" customHeight="1">
      <c r="A115" s="224"/>
      <c r="B115" s="225"/>
      <c r="C115" s="226"/>
      <c r="D115" s="225"/>
      <c r="E115" s="90"/>
      <c r="F115" s="96" t="s">
        <v>2008</v>
      </c>
      <c r="G115" s="123"/>
      <c r="H115" s="106"/>
      <c r="I115" s="106"/>
      <c r="J115" s="106"/>
      <c r="K115" s="106"/>
      <c r="L115" s="124"/>
      <c r="M115" s="106"/>
      <c r="N115" s="110"/>
      <c r="O115" s="110"/>
      <c r="P115" s="938">
        <f>SUM(P116:P117)</f>
        <v>4700000</v>
      </c>
      <c r="Q115" s="235"/>
      <c r="R115" s="997"/>
      <c r="S115" s="235"/>
      <c r="T115" s="246"/>
    </row>
    <row r="116" spans="1:23" ht="15" customHeight="1">
      <c r="A116" s="224"/>
      <c r="B116" s="225"/>
      <c r="C116" s="226"/>
      <c r="D116" s="225"/>
      <c r="E116" s="90"/>
      <c r="F116" s="126" t="s">
        <v>2009</v>
      </c>
      <c r="G116" s="121">
        <v>400000</v>
      </c>
      <c r="H116" s="106" t="s">
        <v>1881</v>
      </c>
      <c r="I116" s="108">
        <v>10</v>
      </c>
      <c r="J116" s="106"/>
      <c r="K116" s="108"/>
      <c r="L116" s="109"/>
      <c r="M116" s="108"/>
      <c r="N116" s="110"/>
      <c r="O116" s="110" t="s">
        <v>281</v>
      </c>
      <c r="P116" s="111">
        <f>ROUNDUP(G116*I116,-3)</f>
        <v>4000000</v>
      </c>
      <c r="Q116" s="235"/>
      <c r="R116" s="997"/>
      <c r="S116" s="235"/>
      <c r="T116" s="246"/>
    </row>
    <row r="117" spans="1:23" ht="15" customHeight="1">
      <c r="A117" s="224"/>
      <c r="B117" s="225"/>
      <c r="C117" s="226"/>
      <c r="D117" s="225"/>
      <c r="E117" s="90"/>
      <c r="F117" s="126" t="s">
        <v>2010</v>
      </c>
      <c r="G117" s="121">
        <v>70000</v>
      </c>
      <c r="H117" s="106" t="s">
        <v>282</v>
      </c>
      <c r="I117" s="108">
        <v>10</v>
      </c>
      <c r="J117" s="106"/>
      <c r="K117" s="108"/>
      <c r="L117" s="109"/>
      <c r="M117" s="108"/>
      <c r="N117" s="110"/>
      <c r="O117" s="110" t="s">
        <v>1882</v>
      </c>
      <c r="P117" s="111">
        <f>ROUNDUP(G117*I117,-3)</f>
        <v>700000</v>
      </c>
      <c r="Q117" s="235"/>
      <c r="R117" s="997"/>
      <c r="S117" s="235"/>
      <c r="T117" s="246"/>
    </row>
    <row r="118" spans="1:23" ht="15" customHeight="1">
      <c r="A118" s="224"/>
      <c r="B118" s="225"/>
      <c r="C118" s="226"/>
      <c r="D118" s="225"/>
      <c r="E118" s="90"/>
      <c r="F118" s="96" t="s">
        <v>2011</v>
      </c>
      <c r="G118" s="123"/>
      <c r="H118" s="106"/>
      <c r="I118" s="106"/>
      <c r="J118" s="106"/>
      <c r="K118" s="106"/>
      <c r="L118" s="124"/>
      <c r="M118" s="106"/>
      <c r="N118" s="110"/>
      <c r="O118" s="110"/>
      <c r="P118" s="938">
        <f>SUM(P119:P121)</f>
        <v>795000</v>
      </c>
      <c r="Q118" s="235"/>
      <c r="R118" s="997"/>
      <c r="S118" s="235"/>
      <c r="T118" s="246"/>
    </row>
    <row r="119" spans="1:23" ht="15" customHeight="1">
      <c r="A119" s="224"/>
      <c r="B119" s="225"/>
      <c r="C119" s="226"/>
      <c r="D119" s="225"/>
      <c r="E119" s="90"/>
      <c r="F119" s="126" t="s">
        <v>2012</v>
      </c>
      <c r="G119" s="121">
        <v>50000</v>
      </c>
      <c r="H119" s="106" t="s">
        <v>1881</v>
      </c>
      <c r="I119" s="142">
        <v>1</v>
      </c>
      <c r="J119" s="106"/>
      <c r="K119" s="108"/>
      <c r="L119" s="109"/>
      <c r="M119" s="108"/>
      <c r="N119" s="110"/>
      <c r="O119" s="110" t="s">
        <v>1897</v>
      </c>
      <c r="P119" s="111">
        <f>ROUNDUP(G119*I119,-3)</f>
        <v>50000</v>
      </c>
      <c r="Q119" s="235"/>
      <c r="R119" s="997"/>
      <c r="S119" s="235"/>
      <c r="T119" s="246"/>
    </row>
    <row r="120" spans="1:23" ht="15" customHeight="1">
      <c r="A120" s="224"/>
      <c r="B120" s="225"/>
      <c r="C120" s="226"/>
      <c r="D120" s="225"/>
      <c r="E120" s="90"/>
      <c r="F120" s="126" t="s">
        <v>2013</v>
      </c>
      <c r="G120" s="121">
        <v>245000</v>
      </c>
      <c r="H120" s="106" t="s">
        <v>1881</v>
      </c>
      <c r="I120" s="142">
        <v>1</v>
      </c>
      <c r="J120" s="106"/>
      <c r="K120" s="108"/>
      <c r="L120" s="109"/>
      <c r="M120" s="108"/>
      <c r="N120" s="110"/>
      <c r="O120" s="110" t="s">
        <v>1897</v>
      </c>
      <c r="P120" s="111">
        <f>ROUNDUP(G120*I120,-3)</f>
        <v>245000</v>
      </c>
      <c r="Q120" s="235"/>
      <c r="R120" s="997"/>
      <c r="S120" s="235"/>
      <c r="T120" s="246"/>
    </row>
    <row r="121" spans="1:23" ht="15" customHeight="1">
      <c r="A121" s="224"/>
      <c r="B121" s="225"/>
      <c r="C121" s="226"/>
      <c r="D121" s="225"/>
      <c r="E121" s="122"/>
      <c r="F121" s="126" t="s">
        <v>2014</v>
      </c>
      <c r="G121" s="121">
        <v>500000</v>
      </c>
      <c r="H121" s="106" t="s">
        <v>1881</v>
      </c>
      <c r="I121" s="156">
        <v>1</v>
      </c>
      <c r="J121" s="106"/>
      <c r="K121" s="108"/>
      <c r="L121" s="109"/>
      <c r="M121" s="108"/>
      <c r="N121" s="110"/>
      <c r="O121" s="110" t="s">
        <v>1897</v>
      </c>
      <c r="P121" s="111">
        <f>ROUNDUP(G121*I121,-3)</f>
        <v>500000</v>
      </c>
      <c r="Q121" s="235"/>
      <c r="R121" s="997"/>
      <c r="S121" s="235"/>
      <c r="T121" s="246"/>
      <c r="W121" s="275"/>
    </row>
    <row r="122" spans="1:23" ht="15" customHeight="1">
      <c r="A122" s="224"/>
      <c r="B122" s="225"/>
      <c r="C122" s="226"/>
      <c r="D122" s="225"/>
      <c r="E122" s="66" t="s">
        <v>2015</v>
      </c>
      <c r="F122" s="227"/>
      <c r="G122" s="228"/>
      <c r="H122" s="66"/>
      <c r="I122" s="66"/>
      <c r="J122" s="66"/>
      <c r="K122" s="66"/>
      <c r="L122" s="229"/>
      <c r="M122" s="66"/>
      <c r="N122" s="230"/>
      <c r="O122" s="230"/>
      <c r="P122" s="66"/>
      <c r="Q122" s="171">
        <f>+P123</f>
        <v>10000000</v>
      </c>
      <c r="R122" s="171">
        <v>0</v>
      </c>
      <c r="S122" s="171">
        <f>Q122-R122</f>
        <v>10000000</v>
      </c>
      <c r="T122" s="172">
        <v>1</v>
      </c>
    </row>
    <row r="123" spans="1:23" ht="15" customHeight="1">
      <c r="A123" s="224"/>
      <c r="B123" s="225"/>
      <c r="C123" s="226"/>
      <c r="D123" s="225"/>
      <c r="E123" s="226"/>
      <c r="F123" s="231" t="s">
        <v>2016</v>
      </c>
      <c r="G123" s="249"/>
      <c r="H123" s="240"/>
      <c r="I123" s="240"/>
      <c r="J123" s="240"/>
      <c r="K123" s="240"/>
      <c r="L123" s="250"/>
      <c r="M123" s="240"/>
      <c r="N123" s="244"/>
      <c r="O123" s="244"/>
      <c r="P123" s="1061">
        <f>SUM(P124:P126)</f>
        <v>10000000</v>
      </c>
      <c r="Q123" s="235"/>
      <c r="R123" s="997"/>
      <c r="S123" s="235"/>
      <c r="T123" s="246"/>
    </row>
    <row r="124" spans="1:23" ht="15" customHeight="1">
      <c r="A124" s="224"/>
      <c r="B124" s="225"/>
      <c r="C124" s="226"/>
      <c r="D124" s="225"/>
      <c r="E124" s="237"/>
      <c r="F124" s="238" t="s">
        <v>2017</v>
      </c>
      <c r="G124" s="252">
        <v>1250000</v>
      </c>
      <c r="H124" s="240" t="s">
        <v>282</v>
      </c>
      <c r="I124" s="1817">
        <v>4</v>
      </c>
      <c r="J124" s="240"/>
      <c r="K124" s="242"/>
      <c r="L124" s="243"/>
      <c r="M124" s="242"/>
      <c r="N124" s="244"/>
      <c r="O124" s="244" t="s">
        <v>1897</v>
      </c>
      <c r="P124" s="245">
        <f>ROUNDUP(G124*I124,-3)</f>
        <v>5000000</v>
      </c>
      <c r="Q124" s="235"/>
      <c r="R124" s="997"/>
      <c r="S124" s="235"/>
      <c r="T124" s="246"/>
      <c r="V124" s="275"/>
    </row>
    <row r="125" spans="1:23" ht="15" customHeight="1">
      <c r="A125" s="224"/>
      <c r="B125" s="225"/>
      <c r="C125" s="226"/>
      <c r="D125" s="225"/>
      <c r="E125" s="247"/>
      <c r="F125" s="248" t="s">
        <v>2018</v>
      </c>
      <c r="G125" s="249">
        <v>1000000</v>
      </c>
      <c r="H125" s="240" t="s">
        <v>1881</v>
      </c>
      <c r="I125" s="1817">
        <v>4</v>
      </c>
      <c r="J125" s="240"/>
      <c r="K125" s="242"/>
      <c r="L125" s="243"/>
      <c r="M125" s="242"/>
      <c r="N125" s="244"/>
      <c r="O125" s="244" t="s">
        <v>1897</v>
      </c>
      <c r="P125" s="245">
        <f>ROUNDUP(G125*I125,-3)</f>
        <v>4000000</v>
      </c>
      <c r="Q125" s="235"/>
      <c r="R125" s="997"/>
      <c r="S125" s="235"/>
      <c r="T125" s="246"/>
      <c r="V125" s="275"/>
      <c r="W125" s="275"/>
    </row>
    <row r="126" spans="1:23" ht="15" customHeight="1">
      <c r="A126" s="224"/>
      <c r="B126" s="225"/>
      <c r="C126" s="226"/>
      <c r="D126" s="225"/>
      <c r="E126" s="247"/>
      <c r="F126" s="248" t="s">
        <v>2019</v>
      </c>
      <c r="G126" s="249">
        <v>250000</v>
      </c>
      <c r="H126" s="240" t="s">
        <v>282</v>
      </c>
      <c r="I126" s="1817">
        <v>4</v>
      </c>
      <c r="J126" s="240"/>
      <c r="K126" s="242"/>
      <c r="L126" s="243"/>
      <c r="M126" s="242"/>
      <c r="N126" s="244"/>
      <c r="O126" s="244" t="s">
        <v>1897</v>
      </c>
      <c r="P126" s="245">
        <f>ROUNDUP(G126*I126,-3)</f>
        <v>1000000</v>
      </c>
      <c r="Q126" s="235"/>
      <c r="R126" s="997"/>
      <c r="S126" s="235"/>
      <c r="T126" s="246"/>
      <c r="V126" s="275"/>
    </row>
    <row r="127" spans="1:23" ht="15" customHeight="1">
      <c r="A127" s="224"/>
      <c r="B127" s="225"/>
      <c r="C127" s="226"/>
      <c r="D127" s="225"/>
      <c r="E127" s="66" t="s">
        <v>2020</v>
      </c>
      <c r="F127" s="227"/>
      <c r="G127" s="228"/>
      <c r="H127" s="66"/>
      <c r="I127" s="66"/>
      <c r="J127" s="66"/>
      <c r="K127" s="66"/>
      <c r="L127" s="229"/>
      <c r="M127" s="66"/>
      <c r="N127" s="230"/>
      <c r="O127" s="230"/>
      <c r="P127" s="66"/>
      <c r="Q127" s="171">
        <f>+P128</f>
        <v>2000000</v>
      </c>
      <c r="R127" s="171">
        <v>0</v>
      </c>
      <c r="S127" s="171">
        <f>Q127-R127</f>
        <v>2000000</v>
      </c>
      <c r="T127" s="172">
        <v>1</v>
      </c>
    </row>
    <row r="128" spans="1:23" ht="15" customHeight="1">
      <c r="A128" s="224"/>
      <c r="B128" s="225"/>
      <c r="C128" s="226"/>
      <c r="D128" s="225"/>
      <c r="E128" s="226"/>
      <c r="F128" s="231" t="s">
        <v>693</v>
      </c>
      <c r="G128" s="249"/>
      <c r="H128" s="240"/>
      <c r="I128" s="240"/>
      <c r="J128" s="240"/>
      <c r="K128" s="240"/>
      <c r="L128" s="250"/>
      <c r="M128" s="240"/>
      <c r="N128" s="244"/>
      <c r="O128" s="244"/>
      <c r="P128" s="1061">
        <f>SUM(P129:P129)</f>
        <v>2000000</v>
      </c>
      <c r="Q128" s="235"/>
      <c r="R128" s="997"/>
      <c r="S128" s="235"/>
      <c r="T128" s="246"/>
    </row>
    <row r="129" spans="1:25" ht="15" customHeight="1">
      <c r="A129" s="224"/>
      <c r="B129" s="225"/>
      <c r="C129" s="226"/>
      <c r="D129" s="225"/>
      <c r="E129" s="237"/>
      <c r="F129" s="238" t="s">
        <v>2021</v>
      </c>
      <c r="G129" s="252">
        <v>1000000</v>
      </c>
      <c r="H129" s="240" t="s">
        <v>1880</v>
      </c>
      <c r="I129" s="256">
        <v>2</v>
      </c>
      <c r="J129" s="240"/>
      <c r="K129" s="242"/>
      <c r="L129" s="243"/>
      <c r="M129" s="242"/>
      <c r="N129" s="244"/>
      <c r="O129" s="244" t="s">
        <v>1882</v>
      </c>
      <c r="P129" s="245">
        <f>ROUNDUP(G129*I129,-3)</f>
        <v>2000000</v>
      </c>
      <c r="Q129" s="235"/>
      <c r="R129" s="997"/>
      <c r="S129" s="235"/>
      <c r="T129" s="246"/>
    </row>
    <row r="130" spans="1:25" ht="15" customHeight="1">
      <c r="A130" s="224"/>
      <c r="B130" s="225"/>
      <c r="C130" s="226"/>
      <c r="D130" s="225"/>
      <c r="E130" s="66" t="s">
        <v>2022</v>
      </c>
      <c r="F130" s="227"/>
      <c r="G130" s="228"/>
      <c r="H130" s="66"/>
      <c r="I130" s="66"/>
      <c r="J130" s="66"/>
      <c r="K130" s="66"/>
      <c r="L130" s="229"/>
      <c r="M130" s="66"/>
      <c r="N130" s="230"/>
      <c r="O130" s="230"/>
      <c r="P130" s="66"/>
      <c r="Q130" s="171">
        <f>+P131</f>
        <v>362849000</v>
      </c>
      <c r="R130" s="171">
        <v>0</v>
      </c>
      <c r="S130" s="171">
        <f>Q130-R130</f>
        <v>362849000</v>
      </c>
      <c r="T130" s="172">
        <v>1</v>
      </c>
      <c r="V130" s="195"/>
      <c r="W130" s="1589"/>
    </row>
    <row r="131" spans="1:25" ht="15" customHeight="1">
      <c r="A131" s="224"/>
      <c r="B131" s="225"/>
      <c r="C131" s="226"/>
      <c r="D131" s="225"/>
      <c r="E131" s="226"/>
      <c r="F131" s="231" t="s">
        <v>695</v>
      </c>
      <c r="G131" s="232"/>
      <c r="H131" s="226"/>
      <c r="I131" s="226"/>
      <c r="J131" s="226"/>
      <c r="K131" s="226"/>
      <c r="L131" s="1386"/>
      <c r="M131" s="226"/>
      <c r="N131" s="233"/>
      <c r="O131" s="233"/>
      <c r="P131" s="1580">
        <f>SUM(P132:P133)</f>
        <v>362849000</v>
      </c>
      <c r="Q131" s="235"/>
      <c r="R131" s="997"/>
      <c r="S131" s="235"/>
      <c r="T131" s="246"/>
      <c r="V131" s="1018"/>
      <c r="W131" s="1589"/>
      <c r="Y131" s="275"/>
    </row>
    <row r="132" spans="1:25" ht="15" customHeight="1">
      <c r="A132" s="224"/>
      <c r="B132" s="225"/>
      <c r="C132" s="226"/>
      <c r="D132" s="225"/>
      <c r="E132" s="226"/>
      <c r="F132" s="248" t="s">
        <v>2023</v>
      </c>
      <c r="G132" s="232">
        <v>14513960</v>
      </c>
      <c r="H132" s="90" t="s">
        <v>282</v>
      </c>
      <c r="I132" s="1590">
        <v>10</v>
      </c>
      <c r="J132" s="226"/>
      <c r="K132" s="226"/>
      <c r="L132" s="1386"/>
      <c r="M132" s="226"/>
      <c r="N132" s="233"/>
      <c r="O132" s="233" t="s">
        <v>1897</v>
      </c>
      <c r="P132" s="1591">
        <f>G132*I132</f>
        <v>145139600</v>
      </c>
      <c r="Q132" s="235"/>
      <c r="R132" s="997"/>
      <c r="S132" s="235"/>
      <c r="T132" s="246"/>
    </row>
    <row r="133" spans="1:25" ht="15" customHeight="1">
      <c r="A133" s="224"/>
      <c r="B133" s="225"/>
      <c r="C133" s="226"/>
      <c r="D133" s="225"/>
      <c r="E133" s="226"/>
      <c r="F133" s="248" t="s">
        <v>2024</v>
      </c>
      <c r="G133" s="232">
        <v>21770940</v>
      </c>
      <c r="H133" s="90" t="s">
        <v>1881</v>
      </c>
      <c r="I133" s="1590">
        <v>10</v>
      </c>
      <c r="J133" s="226"/>
      <c r="K133" s="226"/>
      <c r="L133" s="1386"/>
      <c r="M133" s="226"/>
      <c r="N133" s="233"/>
      <c r="O133" s="233" t="s">
        <v>1897</v>
      </c>
      <c r="P133" s="1591">
        <f>G133*I133</f>
        <v>217709400</v>
      </c>
      <c r="Q133" s="235"/>
      <c r="R133" s="997"/>
      <c r="S133" s="235"/>
      <c r="T133" s="246"/>
      <c r="Y133" s="275"/>
    </row>
    <row r="134" spans="1:25" ht="15" customHeight="1">
      <c r="A134" s="224"/>
      <c r="B134" s="222"/>
      <c r="C134" s="214" t="s">
        <v>2025</v>
      </c>
      <c r="D134" s="266"/>
      <c r="E134" s="1592"/>
      <c r="F134" s="1593"/>
      <c r="G134" s="1059"/>
      <c r="H134" s="1058"/>
      <c r="I134" s="1058"/>
      <c r="J134" s="1058"/>
      <c r="K134" s="1058"/>
      <c r="L134" s="1594"/>
      <c r="M134" s="1058"/>
      <c r="N134" s="1060"/>
      <c r="O134" s="1060"/>
      <c r="P134" s="1058"/>
      <c r="Q134" s="220">
        <f>Q135</f>
        <v>100000000</v>
      </c>
      <c r="R134" s="220">
        <f>SUM(R135)</f>
        <v>0</v>
      </c>
      <c r="S134" s="220">
        <f>Q134-R134</f>
        <v>100000000</v>
      </c>
      <c r="T134" s="221">
        <v>1</v>
      </c>
    </row>
    <row r="135" spans="1:25" ht="15" customHeight="1">
      <c r="A135" s="224"/>
      <c r="B135" s="222"/>
      <c r="C135" s="223"/>
      <c r="D135" s="394" t="s">
        <v>2026</v>
      </c>
      <c r="E135" s="1446"/>
      <c r="F135" s="1447"/>
      <c r="G135" s="1448"/>
      <c r="H135" s="1446"/>
      <c r="I135" s="1446"/>
      <c r="J135" s="1446"/>
      <c r="K135" s="1446"/>
      <c r="L135" s="1449"/>
      <c r="M135" s="1446"/>
      <c r="N135" s="1450"/>
      <c r="O135" s="1450"/>
      <c r="P135" s="1446"/>
      <c r="Q135" s="76">
        <f>SUM(Q136,Q150,Q163,Q166,Q170,Q176)</f>
        <v>100000000</v>
      </c>
      <c r="R135" s="76">
        <v>0</v>
      </c>
      <c r="S135" s="76">
        <f>Q135-R135</f>
        <v>100000000</v>
      </c>
      <c r="T135" s="77">
        <v>1</v>
      </c>
    </row>
    <row r="136" spans="1:25" s="917" customFormat="1" ht="15" customHeight="1">
      <c r="A136" s="88"/>
      <c r="B136" s="89"/>
      <c r="C136" s="90"/>
      <c r="D136" s="170"/>
      <c r="E136" s="510" t="s">
        <v>2449</v>
      </c>
      <c r="F136" s="515"/>
      <c r="G136" s="511"/>
      <c r="H136" s="510"/>
      <c r="I136" s="510"/>
      <c r="J136" s="510"/>
      <c r="K136" s="510"/>
      <c r="L136" s="512"/>
      <c r="M136" s="510"/>
      <c r="N136" s="513"/>
      <c r="O136" s="513"/>
      <c r="P136" s="510"/>
      <c r="Q136" s="171">
        <f>P137+P141+P144+P147</f>
        <v>24000000</v>
      </c>
      <c r="R136" s="171">
        <v>0</v>
      </c>
      <c r="S136" s="171">
        <f>Q136-R136</f>
        <v>24000000</v>
      </c>
      <c r="T136" s="172">
        <v>1</v>
      </c>
    </row>
    <row r="137" spans="1:25" s="915" customFormat="1" ht="15" customHeight="1">
      <c r="A137" s="78"/>
      <c r="B137" s="81"/>
      <c r="C137" s="82"/>
      <c r="D137" s="81"/>
      <c r="E137" s="90"/>
      <c r="F137" s="96" t="s">
        <v>2027</v>
      </c>
      <c r="G137" s="97"/>
      <c r="H137" s="90"/>
      <c r="I137" s="1595"/>
      <c r="J137" s="90"/>
      <c r="K137" s="90"/>
      <c r="L137" s="98"/>
      <c r="M137" s="90"/>
      <c r="N137" s="99"/>
      <c r="O137" s="99"/>
      <c r="P137" s="1580">
        <f>SUM(P138:P140)</f>
        <v>2000000</v>
      </c>
      <c r="Q137" s="1499"/>
      <c r="R137" s="1500"/>
      <c r="S137" s="1499"/>
      <c r="T137" s="1501"/>
      <c r="Y137" s="1502"/>
    </row>
    <row r="138" spans="1:25" s="915" customFormat="1" ht="15" customHeight="1">
      <c r="A138" s="78"/>
      <c r="B138" s="81"/>
      <c r="C138" s="82"/>
      <c r="D138" s="81"/>
      <c r="E138" s="90"/>
      <c r="F138" s="96" t="s">
        <v>2758</v>
      </c>
      <c r="G138" s="97">
        <v>100000</v>
      </c>
      <c r="H138" s="90" t="s">
        <v>1880</v>
      </c>
      <c r="I138" s="1596">
        <v>3</v>
      </c>
      <c r="J138" s="90"/>
      <c r="K138" s="90"/>
      <c r="L138" s="98"/>
      <c r="M138" s="90"/>
      <c r="N138" s="99"/>
      <c r="O138" s="99" t="s">
        <v>1882</v>
      </c>
      <c r="P138" s="97">
        <f>G138*I138</f>
        <v>300000</v>
      </c>
      <c r="Q138" s="1499"/>
      <c r="R138" s="1500"/>
      <c r="S138" s="1499"/>
      <c r="T138" s="1501"/>
      <c r="Y138" s="1502"/>
    </row>
    <row r="139" spans="1:25" s="915" customFormat="1" ht="15" customHeight="1">
      <c r="A139" s="78"/>
      <c r="B139" s="81"/>
      <c r="C139" s="82"/>
      <c r="D139" s="81"/>
      <c r="E139" s="90"/>
      <c r="F139" s="126" t="s">
        <v>2615</v>
      </c>
      <c r="G139" s="97">
        <v>120000</v>
      </c>
      <c r="H139" s="90" t="s">
        <v>1880</v>
      </c>
      <c r="I139" s="1864">
        <v>10</v>
      </c>
      <c r="J139" s="90"/>
      <c r="K139" s="90"/>
      <c r="L139" s="98"/>
      <c r="M139" s="90"/>
      <c r="N139" s="99"/>
      <c r="O139" s="99" t="s">
        <v>1882</v>
      </c>
      <c r="P139" s="97">
        <f t="shared" ref="P139:P140" si="2">G139*I139</f>
        <v>1200000</v>
      </c>
      <c r="Q139" s="1499"/>
      <c r="R139" s="1500"/>
      <c r="S139" s="1499"/>
      <c r="T139" s="1501"/>
      <c r="Y139" s="1502"/>
    </row>
    <row r="140" spans="1:25" s="915" customFormat="1" ht="15" customHeight="1">
      <c r="A140" s="78"/>
      <c r="B140" s="81"/>
      <c r="C140" s="82"/>
      <c r="D140" s="81"/>
      <c r="E140" s="90"/>
      <c r="F140" s="126" t="s">
        <v>2759</v>
      </c>
      <c r="G140" s="97">
        <v>100000</v>
      </c>
      <c r="H140" s="90" t="s">
        <v>1880</v>
      </c>
      <c r="I140" s="1596">
        <v>5</v>
      </c>
      <c r="J140" s="90"/>
      <c r="K140" s="90"/>
      <c r="L140" s="98"/>
      <c r="M140" s="90"/>
      <c r="N140" s="99"/>
      <c r="O140" s="99" t="s">
        <v>1882</v>
      </c>
      <c r="P140" s="97">
        <f t="shared" si="2"/>
        <v>500000</v>
      </c>
      <c r="Q140" s="1499"/>
      <c r="R140" s="1500"/>
      <c r="S140" s="1499"/>
      <c r="T140" s="1501"/>
      <c r="Y140" s="1502"/>
    </row>
    <row r="141" spans="1:25" s="915" customFormat="1" ht="15" customHeight="1">
      <c r="A141" s="78"/>
      <c r="B141" s="81"/>
      <c r="C141" s="82"/>
      <c r="D141" s="81"/>
      <c r="E141" s="90"/>
      <c r="F141" s="96" t="s">
        <v>2028</v>
      </c>
      <c r="G141" s="97"/>
      <c r="H141" s="90"/>
      <c r="I141" s="90"/>
      <c r="J141" s="90"/>
      <c r="K141" s="90"/>
      <c r="L141" s="98"/>
      <c r="M141" s="90"/>
      <c r="N141" s="99"/>
      <c r="O141" s="99"/>
      <c r="P141" s="1580">
        <f>SUM(P142:P143)</f>
        <v>11000000</v>
      </c>
      <c r="Q141" s="1499"/>
      <c r="R141" s="1500"/>
      <c r="S141" s="1499"/>
      <c r="T141" s="1501"/>
      <c r="Y141" s="1502"/>
    </row>
    <row r="142" spans="1:25" s="915" customFormat="1" ht="15" customHeight="1">
      <c r="A142" s="78"/>
      <c r="B142" s="81"/>
      <c r="C142" s="82"/>
      <c r="D142" s="81"/>
      <c r="E142" s="90"/>
      <c r="F142" s="96" t="s">
        <v>2029</v>
      </c>
      <c r="G142" s="97">
        <v>1000000</v>
      </c>
      <c r="H142" s="90" t="s">
        <v>1880</v>
      </c>
      <c r="I142" s="1596">
        <v>8</v>
      </c>
      <c r="J142" s="90"/>
      <c r="K142" s="90"/>
      <c r="L142" s="98"/>
      <c r="M142" s="90"/>
      <c r="N142" s="99"/>
      <c r="O142" s="99" t="s">
        <v>1882</v>
      </c>
      <c r="P142" s="97">
        <v>8000000</v>
      </c>
      <c r="Q142" s="1499"/>
      <c r="R142" s="1500"/>
      <c r="S142" s="1499"/>
      <c r="T142" s="1501"/>
      <c r="W142" s="1502"/>
      <c r="Y142" s="1502"/>
    </row>
    <row r="143" spans="1:25" s="915" customFormat="1" ht="15" customHeight="1">
      <c r="A143" s="78"/>
      <c r="B143" s="81"/>
      <c r="C143" s="82"/>
      <c r="D143" s="81"/>
      <c r="E143" s="90"/>
      <c r="F143" s="126" t="s">
        <v>2030</v>
      </c>
      <c r="G143" s="123">
        <v>3000000</v>
      </c>
      <c r="H143" s="106" t="s">
        <v>1880</v>
      </c>
      <c r="I143" s="1497">
        <v>1</v>
      </c>
      <c r="J143" s="106"/>
      <c r="K143" s="106"/>
      <c r="L143" s="124"/>
      <c r="M143" s="106"/>
      <c r="N143" s="110"/>
      <c r="O143" s="110" t="s">
        <v>1882</v>
      </c>
      <c r="P143" s="123">
        <f>G143*I143</f>
        <v>3000000</v>
      </c>
      <c r="Q143" s="1499"/>
      <c r="R143" s="1500"/>
      <c r="S143" s="1499"/>
      <c r="T143" s="1501"/>
      <c r="Y143" s="1502"/>
    </row>
    <row r="144" spans="1:25" s="915" customFormat="1" ht="15" customHeight="1">
      <c r="A144" s="78"/>
      <c r="B144" s="81"/>
      <c r="C144" s="82"/>
      <c r="D144" s="81"/>
      <c r="E144" s="90"/>
      <c r="F144" s="96" t="s">
        <v>2031</v>
      </c>
      <c r="G144" s="123"/>
      <c r="H144" s="106"/>
      <c r="I144" s="1497"/>
      <c r="J144" s="106"/>
      <c r="K144" s="106"/>
      <c r="L144" s="124"/>
      <c r="M144" s="106"/>
      <c r="N144" s="110"/>
      <c r="O144" s="110"/>
      <c r="P144" s="1061">
        <f>SUM(P145:P146)</f>
        <v>5000000</v>
      </c>
      <c r="Q144" s="1499"/>
      <c r="R144" s="1500"/>
      <c r="S144" s="1499"/>
      <c r="T144" s="1501"/>
      <c r="Y144" s="1502"/>
    </row>
    <row r="145" spans="1:25" s="915" customFormat="1" ht="15" customHeight="1">
      <c r="A145" s="78"/>
      <c r="B145" s="81"/>
      <c r="C145" s="82"/>
      <c r="D145" s="81"/>
      <c r="E145" s="90"/>
      <c r="F145" s="96" t="s">
        <v>2032</v>
      </c>
      <c r="G145" s="123">
        <v>1000000</v>
      </c>
      <c r="H145" s="106" t="s">
        <v>1880</v>
      </c>
      <c r="I145" s="1497">
        <v>2</v>
      </c>
      <c r="J145" s="106"/>
      <c r="K145" s="106"/>
      <c r="L145" s="124"/>
      <c r="M145" s="106"/>
      <c r="N145" s="110"/>
      <c r="O145" s="110" t="s">
        <v>1882</v>
      </c>
      <c r="P145" s="123">
        <f>G145*I145</f>
        <v>2000000</v>
      </c>
      <c r="Q145" s="1499"/>
      <c r="R145" s="1500"/>
      <c r="S145" s="1499"/>
      <c r="T145" s="1501"/>
      <c r="Y145" s="1502"/>
    </row>
    <row r="146" spans="1:25" s="915" customFormat="1" ht="15" customHeight="1">
      <c r="A146" s="1597"/>
      <c r="B146" s="1598"/>
      <c r="C146" s="184"/>
      <c r="D146" s="1598"/>
      <c r="E146" s="563"/>
      <c r="F146" s="1504" t="s">
        <v>2033</v>
      </c>
      <c r="G146" s="943">
        <v>500000</v>
      </c>
      <c r="H146" s="162" t="s">
        <v>282</v>
      </c>
      <c r="I146" s="1522">
        <v>6</v>
      </c>
      <c r="J146" s="162"/>
      <c r="K146" s="162"/>
      <c r="L146" s="1505"/>
      <c r="M146" s="162"/>
      <c r="N146" s="165"/>
      <c r="O146" s="165" t="s">
        <v>1882</v>
      </c>
      <c r="P146" s="123">
        <f>G146*I146</f>
        <v>3000000</v>
      </c>
      <c r="Q146" s="930"/>
      <c r="R146" s="1599"/>
      <c r="S146" s="930"/>
      <c r="T146" s="1600"/>
      <c r="Y146" s="1502"/>
    </row>
    <row r="147" spans="1:25" s="915" customFormat="1" ht="15" customHeight="1">
      <c r="A147" s="78"/>
      <c r="B147" s="81"/>
      <c r="C147" s="82"/>
      <c r="D147" s="81"/>
      <c r="E147" s="90"/>
      <c r="F147" s="96" t="s">
        <v>2034</v>
      </c>
      <c r="G147" s="123"/>
      <c r="H147" s="106"/>
      <c r="I147" s="1497"/>
      <c r="J147" s="106"/>
      <c r="K147" s="106"/>
      <c r="L147" s="124"/>
      <c r="M147" s="106"/>
      <c r="N147" s="110"/>
      <c r="O147" s="110"/>
      <c r="P147" s="1061">
        <f>SUM(P148:P149)</f>
        <v>6000000</v>
      </c>
      <c r="Q147" s="1499"/>
      <c r="R147" s="1500"/>
      <c r="S147" s="1499"/>
      <c r="T147" s="1501"/>
      <c r="Y147" s="1502"/>
    </row>
    <row r="148" spans="1:25" s="915" customFormat="1" ht="15" customHeight="1">
      <c r="A148" s="78"/>
      <c r="B148" s="81"/>
      <c r="C148" s="82"/>
      <c r="D148" s="81"/>
      <c r="E148" s="90"/>
      <c r="F148" s="96" t="s">
        <v>2035</v>
      </c>
      <c r="G148" s="123">
        <v>3000000</v>
      </c>
      <c r="H148" s="106" t="s">
        <v>1880</v>
      </c>
      <c r="I148" s="1497">
        <v>1</v>
      </c>
      <c r="J148" s="106"/>
      <c r="K148" s="106"/>
      <c r="L148" s="124"/>
      <c r="M148" s="106"/>
      <c r="N148" s="110"/>
      <c r="O148" s="110" t="s">
        <v>1882</v>
      </c>
      <c r="P148" s="123">
        <f>G148*I148</f>
        <v>3000000</v>
      </c>
      <c r="Q148" s="1499"/>
      <c r="R148" s="1500"/>
      <c r="S148" s="1499"/>
      <c r="T148" s="1501"/>
      <c r="Y148" s="1502"/>
    </row>
    <row r="149" spans="1:25" s="915" customFormat="1" ht="15" customHeight="1">
      <c r="A149" s="78"/>
      <c r="B149" s="81"/>
      <c r="C149" s="82"/>
      <c r="D149" s="81"/>
      <c r="E149" s="90"/>
      <c r="F149" s="96" t="s">
        <v>2036</v>
      </c>
      <c r="G149" s="123">
        <v>1000000</v>
      </c>
      <c r="H149" s="106" t="s">
        <v>1880</v>
      </c>
      <c r="I149" s="1497">
        <v>3</v>
      </c>
      <c r="J149" s="106"/>
      <c r="K149" s="106"/>
      <c r="L149" s="124"/>
      <c r="M149" s="106"/>
      <c r="N149" s="110"/>
      <c r="O149" s="110" t="s">
        <v>1882</v>
      </c>
      <c r="P149" s="123">
        <f>G149*I149</f>
        <v>3000000</v>
      </c>
      <c r="Q149" s="1499"/>
      <c r="R149" s="1500"/>
      <c r="S149" s="1499"/>
      <c r="T149" s="1501"/>
      <c r="Y149" s="1502"/>
    </row>
    <row r="150" spans="1:25" s="917" customFormat="1" ht="15" customHeight="1">
      <c r="A150" s="88"/>
      <c r="B150" s="89"/>
      <c r="C150" s="90"/>
      <c r="D150" s="89"/>
      <c r="E150" s="510" t="s">
        <v>2450</v>
      </c>
      <c r="F150" s="515"/>
      <c r="G150" s="511"/>
      <c r="H150" s="510"/>
      <c r="I150" s="510"/>
      <c r="J150" s="510"/>
      <c r="K150" s="510"/>
      <c r="L150" s="512"/>
      <c r="M150" s="510"/>
      <c r="N150" s="513"/>
      <c r="O150" s="513"/>
      <c r="P150" s="510"/>
      <c r="Q150" s="171">
        <f>P151+P154+P159</f>
        <v>22000000</v>
      </c>
      <c r="R150" s="171">
        <v>0</v>
      </c>
      <c r="S150" s="171">
        <f>Q150-R150</f>
        <v>22000000</v>
      </c>
      <c r="T150" s="172">
        <v>1</v>
      </c>
    </row>
    <row r="151" spans="1:25" s="917" customFormat="1" ht="15" customHeight="1">
      <c r="A151" s="88"/>
      <c r="B151" s="89"/>
      <c r="C151" s="90"/>
      <c r="D151" s="89"/>
      <c r="E151" s="90"/>
      <c r="F151" s="96" t="s">
        <v>2037</v>
      </c>
      <c r="G151" s="123"/>
      <c r="H151" s="106"/>
      <c r="I151" s="1497"/>
      <c r="J151" s="106"/>
      <c r="K151" s="106"/>
      <c r="L151" s="124"/>
      <c r="M151" s="106"/>
      <c r="N151" s="110"/>
      <c r="O151" s="110"/>
      <c r="P151" s="1061">
        <f>SUM(P152:P153)</f>
        <v>6000000</v>
      </c>
      <c r="Q151" s="119"/>
      <c r="R151" s="119"/>
      <c r="S151" s="119"/>
      <c r="T151" s="120"/>
    </row>
    <row r="152" spans="1:25" s="917" customFormat="1" ht="15" customHeight="1">
      <c r="A152" s="88"/>
      <c r="B152" s="89"/>
      <c r="C152" s="90"/>
      <c r="D152" s="89"/>
      <c r="E152" s="90"/>
      <c r="F152" s="96" t="s">
        <v>2038</v>
      </c>
      <c r="G152" s="123">
        <v>600000</v>
      </c>
      <c r="H152" s="106" t="s">
        <v>1880</v>
      </c>
      <c r="I152" s="1497">
        <v>5</v>
      </c>
      <c r="J152" s="106"/>
      <c r="K152" s="106"/>
      <c r="L152" s="124"/>
      <c r="M152" s="106"/>
      <c r="N152" s="110"/>
      <c r="O152" s="110" t="s">
        <v>1882</v>
      </c>
      <c r="P152" s="123">
        <f>G152*I152</f>
        <v>3000000</v>
      </c>
      <c r="Q152" s="119"/>
      <c r="R152" s="119"/>
      <c r="S152" s="119"/>
      <c r="T152" s="120"/>
      <c r="W152" s="944"/>
    </row>
    <row r="153" spans="1:25" s="917" customFormat="1" ht="15" customHeight="1">
      <c r="A153" s="88"/>
      <c r="B153" s="89"/>
      <c r="C153" s="90"/>
      <c r="D153" s="89"/>
      <c r="E153" s="90"/>
      <c r="F153" s="96" t="s">
        <v>2039</v>
      </c>
      <c r="G153" s="123">
        <v>600000</v>
      </c>
      <c r="H153" s="106" t="s">
        <v>1880</v>
      </c>
      <c r="I153" s="1497">
        <v>5</v>
      </c>
      <c r="J153" s="106"/>
      <c r="K153" s="106"/>
      <c r="L153" s="124"/>
      <c r="M153" s="106"/>
      <c r="N153" s="110"/>
      <c r="O153" s="110" t="s">
        <v>1897</v>
      </c>
      <c r="P153" s="123">
        <f>G153*I153</f>
        <v>3000000</v>
      </c>
      <c r="Q153" s="119"/>
      <c r="R153" s="119"/>
      <c r="S153" s="119"/>
      <c r="T153" s="120"/>
    </row>
    <row r="154" spans="1:25" s="917" customFormat="1" ht="15" customHeight="1">
      <c r="A154" s="88"/>
      <c r="B154" s="89"/>
      <c r="C154" s="90"/>
      <c r="D154" s="89"/>
      <c r="E154" s="90"/>
      <c r="F154" s="96" t="s">
        <v>2040</v>
      </c>
      <c r="G154" s="123"/>
      <c r="H154" s="106"/>
      <c r="I154" s="1497"/>
      <c r="J154" s="106"/>
      <c r="K154" s="106"/>
      <c r="L154" s="124"/>
      <c r="M154" s="106"/>
      <c r="N154" s="110"/>
      <c r="O154" s="110"/>
      <c r="P154" s="1061">
        <f>SUM(P155:P157)</f>
        <v>11000000</v>
      </c>
      <c r="Q154" s="119"/>
      <c r="R154" s="119"/>
      <c r="S154" s="119"/>
      <c r="T154" s="120"/>
    </row>
    <row r="155" spans="1:25" s="917" customFormat="1" ht="15" customHeight="1">
      <c r="A155" s="88"/>
      <c r="B155" s="89"/>
      <c r="C155" s="90"/>
      <c r="D155" s="89"/>
      <c r="E155" s="90"/>
      <c r="F155" s="96" t="s">
        <v>2041</v>
      </c>
      <c r="G155" s="123">
        <v>5000000</v>
      </c>
      <c r="H155" s="106" t="s">
        <v>1881</v>
      </c>
      <c r="I155" s="1497">
        <v>1</v>
      </c>
      <c r="J155" s="106"/>
      <c r="K155" s="106"/>
      <c r="L155" s="124"/>
      <c r="M155" s="106"/>
      <c r="N155" s="110"/>
      <c r="O155" s="110" t="s">
        <v>1897</v>
      </c>
      <c r="P155" s="123">
        <f>G155*I155</f>
        <v>5000000</v>
      </c>
      <c r="Q155" s="119"/>
      <c r="R155" s="119"/>
      <c r="S155" s="119"/>
      <c r="T155" s="120"/>
    </row>
    <row r="156" spans="1:25" s="917" customFormat="1" ht="15" customHeight="1">
      <c r="A156" s="88"/>
      <c r="B156" s="89"/>
      <c r="C156" s="90"/>
      <c r="D156" s="89"/>
      <c r="E156" s="90"/>
      <c r="F156" s="96" t="s">
        <v>2042</v>
      </c>
      <c r="G156" s="123">
        <v>1000000</v>
      </c>
      <c r="H156" s="106" t="s">
        <v>282</v>
      </c>
      <c r="I156" s="1497">
        <v>3</v>
      </c>
      <c r="J156" s="106"/>
      <c r="K156" s="106"/>
      <c r="L156" s="124"/>
      <c r="M156" s="106"/>
      <c r="N156" s="110"/>
      <c r="O156" s="110" t="s">
        <v>1897</v>
      </c>
      <c r="P156" s="123">
        <f>G156*I156</f>
        <v>3000000</v>
      </c>
      <c r="Q156" s="119"/>
      <c r="R156" s="119"/>
      <c r="S156" s="119"/>
      <c r="T156" s="120"/>
    </row>
    <row r="157" spans="1:25" s="915" customFormat="1" ht="15" customHeight="1">
      <c r="A157" s="78"/>
      <c r="B157" s="81"/>
      <c r="C157" s="82"/>
      <c r="D157" s="81"/>
      <c r="E157" s="90"/>
      <c r="F157" s="96" t="s">
        <v>2043</v>
      </c>
      <c r="G157" s="123">
        <v>1000000</v>
      </c>
      <c r="H157" s="106" t="s">
        <v>1881</v>
      </c>
      <c r="I157" s="1497">
        <v>3</v>
      </c>
      <c r="J157" s="106"/>
      <c r="K157" s="106"/>
      <c r="L157" s="124"/>
      <c r="M157" s="106"/>
      <c r="N157" s="110"/>
      <c r="O157" s="110" t="s">
        <v>1882</v>
      </c>
      <c r="P157" s="123">
        <f>G157*I157</f>
        <v>3000000</v>
      </c>
      <c r="Q157" s="1499"/>
      <c r="R157" s="1500"/>
      <c r="S157" s="1499"/>
      <c r="T157" s="1501"/>
    </row>
    <row r="158" spans="1:25" s="915" customFormat="1" ht="15" customHeight="1">
      <c r="A158" s="78"/>
      <c r="B158" s="81"/>
      <c r="C158" s="82"/>
      <c r="D158" s="81"/>
      <c r="E158" s="90"/>
      <c r="F158" s="96" t="s">
        <v>2044</v>
      </c>
      <c r="G158" s="123"/>
      <c r="H158" s="106"/>
      <c r="I158" s="1497"/>
      <c r="J158" s="106"/>
      <c r="K158" s="106"/>
      <c r="L158" s="124"/>
      <c r="M158" s="106"/>
      <c r="N158" s="110"/>
      <c r="O158" s="110"/>
      <c r="P158" s="1061"/>
      <c r="Q158" s="1499"/>
      <c r="R158" s="1500"/>
      <c r="S158" s="1499"/>
      <c r="T158" s="1501"/>
    </row>
    <row r="159" spans="1:25" s="915" customFormat="1" ht="15" customHeight="1">
      <c r="A159" s="78"/>
      <c r="B159" s="81"/>
      <c r="C159" s="82"/>
      <c r="D159" s="89"/>
      <c r="E159" s="90"/>
      <c r="F159" s="96" t="s">
        <v>2045</v>
      </c>
      <c r="G159" s="123"/>
      <c r="H159" s="106"/>
      <c r="I159" s="1497"/>
      <c r="J159" s="106"/>
      <c r="K159" s="106"/>
      <c r="L159" s="124"/>
      <c r="M159" s="106"/>
      <c r="N159" s="110"/>
      <c r="O159" s="110"/>
      <c r="P159" s="1061">
        <f>SUM(P160:P162)</f>
        <v>5000000</v>
      </c>
      <c r="Q159" s="1499"/>
      <c r="R159" s="1500"/>
      <c r="S159" s="1499"/>
      <c r="T159" s="1501"/>
    </row>
    <row r="160" spans="1:25" s="915" customFormat="1" ht="15" customHeight="1">
      <c r="A160" s="78"/>
      <c r="B160" s="81"/>
      <c r="C160" s="82"/>
      <c r="D160" s="89"/>
      <c r="E160" s="90"/>
      <c r="F160" s="231" t="s">
        <v>2760</v>
      </c>
      <c r="G160" s="123">
        <v>1000000</v>
      </c>
      <c r="H160" s="106" t="s">
        <v>1881</v>
      </c>
      <c r="I160" s="1497">
        <v>1</v>
      </c>
      <c r="J160" s="106"/>
      <c r="K160" s="106"/>
      <c r="L160" s="124"/>
      <c r="M160" s="106"/>
      <c r="N160" s="110"/>
      <c r="O160" s="110" t="s">
        <v>1520</v>
      </c>
      <c r="P160" s="123">
        <f>G160*I160</f>
        <v>1000000</v>
      </c>
      <c r="Q160" s="1499"/>
      <c r="R160" s="1500"/>
      <c r="S160" s="1499"/>
      <c r="T160" s="1501"/>
    </row>
    <row r="161" spans="1:20" s="915" customFormat="1" ht="15" customHeight="1">
      <c r="A161" s="78"/>
      <c r="B161" s="81"/>
      <c r="C161" s="82"/>
      <c r="D161" s="89"/>
      <c r="E161" s="90"/>
      <c r="F161" s="231" t="s">
        <v>2761</v>
      </c>
      <c r="G161" s="123">
        <v>1000000</v>
      </c>
      <c r="H161" s="106" t="s">
        <v>1881</v>
      </c>
      <c r="I161" s="1497">
        <v>1</v>
      </c>
      <c r="J161" s="106"/>
      <c r="K161" s="106"/>
      <c r="L161" s="124"/>
      <c r="M161" s="106"/>
      <c r="N161" s="110"/>
      <c r="O161" s="110" t="s">
        <v>1520</v>
      </c>
      <c r="P161" s="123">
        <f>G161*I161</f>
        <v>1000000</v>
      </c>
      <c r="Q161" s="1499"/>
      <c r="R161" s="1500"/>
      <c r="S161" s="1499"/>
      <c r="T161" s="1501"/>
    </row>
    <row r="162" spans="1:20" s="915" customFormat="1" ht="15" customHeight="1">
      <c r="A162" s="78"/>
      <c r="B162" s="81"/>
      <c r="C162" s="82"/>
      <c r="D162" s="89"/>
      <c r="E162" s="90"/>
      <c r="F162" s="231" t="s">
        <v>2762</v>
      </c>
      <c r="G162" s="123">
        <v>3000000</v>
      </c>
      <c r="H162" s="106" t="s">
        <v>1881</v>
      </c>
      <c r="I162" s="1497">
        <v>1</v>
      </c>
      <c r="J162" s="106"/>
      <c r="K162" s="106"/>
      <c r="L162" s="124"/>
      <c r="M162" s="106"/>
      <c r="N162" s="110"/>
      <c r="O162" s="110" t="s">
        <v>1520</v>
      </c>
      <c r="P162" s="123">
        <f>G162*I162</f>
        <v>3000000</v>
      </c>
      <c r="Q162" s="1499"/>
      <c r="R162" s="1500"/>
      <c r="S162" s="1499"/>
      <c r="T162" s="1501"/>
    </row>
    <row r="163" spans="1:20" s="917" customFormat="1" ht="15" customHeight="1">
      <c r="A163" s="88"/>
      <c r="B163" s="89"/>
      <c r="C163" s="90"/>
      <c r="D163" s="89"/>
      <c r="E163" s="510" t="s">
        <v>2451</v>
      </c>
      <c r="F163" s="515"/>
      <c r="G163" s="511"/>
      <c r="H163" s="510"/>
      <c r="I163" s="510"/>
      <c r="J163" s="510"/>
      <c r="K163" s="510"/>
      <c r="L163" s="512"/>
      <c r="M163" s="510"/>
      <c r="N163" s="513"/>
      <c r="O163" s="513"/>
      <c r="P163" s="510"/>
      <c r="Q163" s="171">
        <f>P164+P165</f>
        <v>6000000</v>
      </c>
      <c r="R163" s="171">
        <v>0</v>
      </c>
      <c r="S163" s="171">
        <f>Q163-R163</f>
        <v>6000000</v>
      </c>
      <c r="T163" s="172">
        <v>1</v>
      </c>
    </row>
    <row r="164" spans="1:20" s="917" customFormat="1" ht="15" customHeight="1">
      <c r="A164" s="88"/>
      <c r="B164" s="89"/>
      <c r="C164" s="90"/>
      <c r="D164" s="89"/>
      <c r="E164" s="103"/>
      <c r="F164" s="96" t="s">
        <v>2046</v>
      </c>
      <c r="G164" s="123">
        <v>600000</v>
      </c>
      <c r="H164" s="106" t="s">
        <v>1881</v>
      </c>
      <c r="I164" s="1497">
        <v>5</v>
      </c>
      <c r="J164" s="106"/>
      <c r="K164" s="106"/>
      <c r="L164" s="124"/>
      <c r="M164" s="106"/>
      <c r="N164" s="110"/>
      <c r="O164" s="110" t="s">
        <v>281</v>
      </c>
      <c r="P164" s="123">
        <f>G164*I164</f>
        <v>3000000</v>
      </c>
      <c r="Q164" s="112"/>
      <c r="R164" s="131"/>
      <c r="S164" s="112"/>
      <c r="T164" s="113"/>
    </row>
    <row r="165" spans="1:20" s="917" customFormat="1" ht="15" customHeight="1">
      <c r="A165" s="88"/>
      <c r="B165" s="89"/>
      <c r="C165" s="90"/>
      <c r="D165" s="89"/>
      <c r="E165" s="103"/>
      <c r="F165" s="96" t="s">
        <v>2047</v>
      </c>
      <c r="G165" s="123">
        <v>600000</v>
      </c>
      <c r="H165" s="106" t="s">
        <v>1880</v>
      </c>
      <c r="I165" s="1497">
        <v>5</v>
      </c>
      <c r="J165" s="106"/>
      <c r="K165" s="106"/>
      <c r="L165" s="124"/>
      <c r="M165" s="106"/>
      <c r="N165" s="110"/>
      <c r="O165" s="110" t="s">
        <v>1897</v>
      </c>
      <c r="P165" s="123">
        <f>G165*I165</f>
        <v>3000000</v>
      </c>
      <c r="Q165" s="112"/>
      <c r="R165" s="131"/>
      <c r="S165" s="112"/>
      <c r="T165" s="113"/>
    </row>
    <row r="166" spans="1:20" s="917" customFormat="1" ht="15" customHeight="1">
      <c r="A166" s="88"/>
      <c r="B166" s="89"/>
      <c r="C166" s="90"/>
      <c r="D166" s="89"/>
      <c r="E166" s="514" t="s">
        <v>2452</v>
      </c>
      <c r="F166" s="515"/>
      <c r="G166" s="511"/>
      <c r="H166" s="510"/>
      <c r="I166" s="1601"/>
      <c r="J166" s="510"/>
      <c r="K166" s="1602"/>
      <c r="L166" s="1603"/>
      <c r="M166" s="1602"/>
      <c r="N166" s="513"/>
      <c r="O166" s="513"/>
      <c r="P166" s="1604"/>
      <c r="Q166" s="171">
        <f>P167</f>
        <v>13000000</v>
      </c>
      <c r="R166" s="171">
        <v>0</v>
      </c>
      <c r="S166" s="171">
        <f>Q166-R166</f>
        <v>13000000</v>
      </c>
      <c r="T166" s="172">
        <v>1</v>
      </c>
    </row>
    <row r="167" spans="1:20" s="917" customFormat="1" ht="15" customHeight="1">
      <c r="A167" s="88"/>
      <c r="B167" s="89"/>
      <c r="C167" s="90"/>
      <c r="D167" s="89"/>
      <c r="E167" s="90"/>
      <c r="F167" s="96" t="s">
        <v>2048</v>
      </c>
      <c r="G167" s="123"/>
      <c r="H167" s="106"/>
      <c r="I167" s="1497"/>
      <c r="J167" s="106"/>
      <c r="K167" s="106"/>
      <c r="L167" s="124"/>
      <c r="M167" s="106"/>
      <c r="N167" s="110"/>
      <c r="O167" s="110"/>
      <c r="P167" s="1061">
        <f>SUM(P168:P169)</f>
        <v>13000000</v>
      </c>
      <c r="Q167" s="112"/>
      <c r="R167" s="131"/>
      <c r="S167" s="112"/>
      <c r="T167" s="113"/>
    </row>
    <row r="168" spans="1:20" s="917" customFormat="1" ht="15" customHeight="1">
      <c r="A168" s="88"/>
      <c r="B168" s="89"/>
      <c r="C168" s="90"/>
      <c r="D168" s="89"/>
      <c r="E168" s="90"/>
      <c r="F168" s="96" t="s">
        <v>2049</v>
      </c>
      <c r="G168" s="123">
        <v>2500000</v>
      </c>
      <c r="H168" s="106" t="s">
        <v>1880</v>
      </c>
      <c r="I168" s="1497">
        <v>2</v>
      </c>
      <c r="J168" s="106"/>
      <c r="K168" s="106"/>
      <c r="L168" s="124"/>
      <c r="M168" s="106"/>
      <c r="N168" s="110"/>
      <c r="O168" s="110" t="s">
        <v>1897</v>
      </c>
      <c r="P168" s="123">
        <f>G168*I168</f>
        <v>5000000</v>
      </c>
      <c r="Q168" s="112"/>
      <c r="R168" s="131"/>
      <c r="S168" s="112"/>
      <c r="T168" s="113"/>
    </row>
    <row r="169" spans="1:20" s="917" customFormat="1" ht="15" customHeight="1">
      <c r="A169" s="88"/>
      <c r="B169" s="89"/>
      <c r="C169" s="90"/>
      <c r="D169" s="89"/>
      <c r="E169" s="90"/>
      <c r="F169" s="96" t="s">
        <v>2050</v>
      </c>
      <c r="G169" s="123">
        <v>2000000</v>
      </c>
      <c r="H169" s="106" t="s">
        <v>1881</v>
      </c>
      <c r="I169" s="1497">
        <v>4</v>
      </c>
      <c r="J169" s="106"/>
      <c r="K169" s="106"/>
      <c r="L169" s="124"/>
      <c r="M169" s="106"/>
      <c r="N169" s="110"/>
      <c r="O169" s="110" t="s">
        <v>1882</v>
      </c>
      <c r="P169" s="123">
        <f>G169*I169</f>
        <v>8000000</v>
      </c>
      <c r="Q169" s="112"/>
      <c r="R169" s="131"/>
      <c r="S169" s="112"/>
      <c r="T169" s="113"/>
    </row>
    <row r="170" spans="1:20" s="917" customFormat="1" ht="15" customHeight="1">
      <c r="A170" s="88"/>
      <c r="B170" s="89"/>
      <c r="C170" s="90"/>
      <c r="D170" s="89"/>
      <c r="E170" s="514" t="s">
        <v>2453</v>
      </c>
      <c r="F170" s="515"/>
      <c r="G170" s="511"/>
      <c r="H170" s="510"/>
      <c r="I170" s="1601"/>
      <c r="J170" s="510"/>
      <c r="K170" s="510"/>
      <c r="L170" s="512"/>
      <c r="M170" s="510"/>
      <c r="N170" s="513"/>
      <c r="O170" s="513"/>
      <c r="P170" s="511"/>
      <c r="Q170" s="171">
        <f>P172</f>
        <v>20000000</v>
      </c>
      <c r="R170" s="171">
        <v>0</v>
      </c>
      <c r="S170" s="171">
        <f>Q170-R170</f>
        <v>20000000</v>
      </c>
      <c r="T170" s="172">
        <v>1</v>
      </c>
    </row>
    <row r="171" spans="1:20" s="917" customFormat="1" ht="15" customHeight="1">
      <c r="A171" s="88"/>
      <c r="B171" s="89"/>
      <c r="C171" s="90"/>
      <c r="D171" s="89"/>
      <c r="E171" s="90"/>
      <c r="F171" s="96" t="s">
        <v>2051</v>
      </c>
      <c r="G171" s="123"/>
      <c r="H171" s="106"/>
      <c r="I171" s="1497"/>
      <c r="J171" s="106"/>
      <c r="K171" s="106"/>
      <c r="L171" s="124"/>
      <c r="M171" s="106"/>
      <c r="N171" s="110"/>
      <c r="O171" s="110"/>
      <c r="P171" s="1061"/>
      <c r="Q171" s="112"/>
      <c r="R171" s="131"/>
      <c r="S171" s="112"/>
      <c r="T171" s="113"/>
    </row>
    <row r="172" spans="1:20" s="917" customFormat="1" ht="15" customHeight="1">
      <c r="A172" s="88"/>
      <c r="B172" s="89"/>
      <c r="C172" s="90"/>
      <c r="D172" s="89"/>
      <c r="E172" s="90"/>
      <c r="F172" s="96" t="s">
        <v>2052</v>
      </c>
      <c r="G172" s="123"/>
      <c r="H172" s="106"/>
      <c r="I172" s="1497"/>
      <c r="J172" s="106"/>
      <c r="K172" s="106"/>
      <c r="L172" s="124"/>
      <c r="M172" s="106"/>
      <c r="N172" s="110"/>
      <c r="O172" s="110"/>
      <c r="P172" s="1061">
        <f>SUM(P173:P175)</f>
        <v>20000000</v>
      </c>
      <c r="Q172" s="112"/>
      <c r="R172" s="131"/>
      <c r="S172" s="112"/>
      <c r="T172" s="113"/>
    </row>
    <row r="173" spans="1:20" s="917" customFormat="1" ht="15" customHeight="1">
      <c r="A173" s="88"/>
      <c r="B173" s="89"/>
      <c r="C173" s="90"/>
      <c r="D173" s="89"/>
      <c r="E173" s="90"/>
      <c r="F173" s="231" t="s">
        <v>2701</v>
      </c>
      <c r="G173" s="123">
        <v>2000000</v>
      </c>
      <c r="H173" s="106" t="s">
        <v>1881</v>
      </c>
      <c r="I173" s="1497">
        <v>1</v>
      </c>
      <c r="J173" s="106"/>
      <c r="K173" s="106"/>
      <c r="L173" s="124"/>
      <c r="M173" s="106"/>
      <c r="N173" s="110"/>
      <c r="O173" s="110" t="s">
        <v>1520</v>
      </c>
      <c r="P173" s="123">
        <f>G173*I173</f>
        <v>2000000</v>
      </c>
      <c r="Q173" s="112"/>
      <c r="R173" s="131"/>
      <c r="S173" s="112"/>
      <c r="T173" s="113"/>
    </row>
    <row r="174" spans="1:20" s="917" customFormat="1" ht="15" customHeight="1">
      <c r="A174" s="88"/>
      <c r="B174" s="89"/>
      <c r="C174" s="90"/>
      <c r="D174" s="89"/>
      <c r="E174" s="90"/>
      <c r="F174" s="231" t="s">
        <v>2763</v>
      </c>
      <c r="G174" s="123">
        <v>10000000</v>
      </c>
      <c r="H174" s="106" t="s">
        <v>1881</v>
      </c>
      <c r="I174" s="1497">
        <v>1</v>
      </c>
      <c r="J174" s="106"/>
      <c r="K174" s="106"/>
      <c r="L174" s="124"/>
      <c r="M174" s="106"/>
      <c r="N174" s="110"/>
      <c r="O174" s="110" t="s">
        <v>1520</v>
      </c>
      <c r="P174" s="123">
        <f>G174*I174</f>
        <v>10000000</v>
      </c>
      <c r="Q174" s="112"/>
      <c r="R174" s="131"/>
      <c r="S174" s="112"/>
      <c r="T174" s="113"/>
    </row>
    <row r="175" spans="1:20" s="917" customFormat="1" ht="15" customHeight="1">
      <c r="A175" s="88"/>
      <c r="B175" s="89"/>
      <c r="C175" s="90"/>
      <c r="D175" s="89"/>
      <c r="E175" s="90"/>
      <c r="F175" s="231" t="s">
        <v>2764</v>
      </c>
      <c r="G175" s="123">
        <v>8000000</v>
      </c>
      <c r="H175" s="106" t="s">
        <v>1881</v>
      </c>
      <c r="I175" s="1497">
        <v>1</v>
      </c>
      <c r="J175" s="106"/>
      <c r="K175" s="106"/>
      <c r="L175" s="124"/>
      <c r="M175" s="106"/>
      <c r="N175" s="110"/>
      <c r="O175" s="110" t="s">
        <v>1520</v>
      </c>
      <c r="P175" s="123">
        <f>G175*I175</f>
        <v>8000000</v>
      </c>
      <c r="Q175" s="112"/>
      <c r="R175" s="131"/>
      <c r="S175" s="112"/>
      <c r="T175" s="113"/>
    </row>
    <row r="176" spans="1:20" s="917" customFormat="1" ht="15" customHeight="1">
      <c r="A176" s="88"/>
      <c r="B176" s="89"/>
      <c r="C176" s="90"/>
      <c r="D176" s="89"/>
      <c r="E176" s="514" t="s">
        <v>2454</v>
      </c>
      <c r="F176" s="515"/>
      <c r="G176" s="511"/>
      <c r="H176" s="510"/>
      <c r="I176" s="1601"/>
      <c r="J176" s="510"/>
      <c r="K176" s="510"/>
      <c r="L176" s="512"/>
      <c r="M176" s="510"/>
      <c r="N176" s="513"/>
      <c r="O176" s="513"/>
      <c r="P176" s="511"/>
      <c r="Q176" s="171">
        <f>P177</f>
        <v>15000000</v>
      </c>
      <c r="R176" s="171">
        <v>0</v>
      </c>
      <c r="S176" s="171">
        <f>Q176-R176</f>
        <v>15000000</v>
      </c>
      <c r="T176" s="172">
        <v>1</v>
      </c>
    </row>
    <row r="177" spans="1:24" s="917" customFormat="1" ht="15" customHeight="1">
      <c r="A177" s="88"/>
      <c r="B177" s="89"/>
      <c r="C177" s="90"/>
      <c r="D177" s="89"/>
      <c r="E177" s="90"/>
      <c r="F177" s="96" t="s">
        <v>2053</v>
      </c>
      <c r="G177" s="123"/>
      <c r="H177" s="106"/>
      <c r="I177" s="1497"/>
      <c r="J177" s="106"/>
      <c r="K177" s="106"/>
      <c r="L177" s="124"/>
      <c r="M177" s="106"/>
      <c r="N177" s="110"/>
      <c r="O177" s="110"/>
      <c r="P177" s="1061">
        <f>SUM(P178:P179)</f>
        <v>15000000</v>
      </c>
      <c r="Q177" s="112"/>
      <c r="R177" s="131"/>
      <c r="S177" s="112"/>
      <c r="T177" s="113"/>
    </row>
    <row r="178" spans="1:24" s="917" customFormat="1" ht="15" customHeight="1">
      <c r="A178" s="88"/>
      <c r="B178" s="89"/>
      <c r="C178" s="90"/>
      <c r="D178" s="89"/>
      <c r="E178" s="90"/>
      <c r="F178" s="96" t="s">
        <v>2054</v>
      </c>
      <c r="G178" s="123">
        <v>1000000</v>
      </c>
      <c r="H178" s="106" t="s">
        <v>1880</v>
      </c>
      <c r="I178" s="1865">
        <v>10</v>
      </c>
      <c r="J178" s="106"/>
      <c r="K178" s="106"/>
      <c r="L178" s="124"/>
      <c r="M178" s="106"/>
      <c r="N178" s="110"/>
      <c r="O178" s="110" t="s">
        <v>1882</v>
      </c>
      <c r="P178" s="123">
        <f>G178*I178</f>
        <v>10000000</v>
      </c>
      <c r="Q178" s="112"/>
      <c r="R178" s="131"/>
      <c r="S178" s="112"/>
      <c r="T178" s="113"/>
    </row>
    <row r="179" spans="1:24" s="917" customFormat="1" ht="15" customHeight="1">
      <c r="A179" s="88"/>
      <c r="B179" s="89"/>
      <c r="C179" s="90"/>
      <c r="D179" s="81"/>
      <c r="E179" s="103"/>
      <c r="F179" s="96" t="s">
        <v>2055</v>
      </c>
      <c r="G179" s="123">
        <v>500000</v>
      </c>
      <c r="H179" s="106" t="s">
        <v>1881</v>
      </c>
      <c r="I179" s="1865">
        <v>10</v>
      </c>
      <c r="J179" s="106"/>
      <c r="K179" s="106"/>
      <c r="L179" s="124"/>
      <c r="M179" s="106"/>
      <c r="N179" s="110"/>
      <c r="O179" s="110" t="s">
        <v>1897</v>
      </c>
      <c r="P179" s="123">
        <f>G179*I179</f>
        <v>5000000</v>
      </c>
      <c r="Q179" s="112"/>
      <c r="R179" s="131"/>
      <c r="S179" s="112"/>
      <c r="T179" s="113"/>
    </row>
    <row r="180" spans="1:24" ht="15" customHeight="1">
      <c r="A180" s="224"/>
      <c r="B180" s="222"/>
      <c r="C180" s="214" t="s">
        <v>2056</v>
      </c>
      <c r="D180" s="266"/>
      <c r="E180" s="1592"/>
      <c r="F180" s="1593"/>
      <c r="G180" s="1059"/>
      <c r="H180" s="1058"/>
      <c r="I180" s="1058"/>
      <c r="J180" s="1058"/>
      <c r="K180" s="1058"/>
      <c r="L180" s="1594"/>
      <c r="M180" s="1058"/>
      <c r="N180" s="1060"/>
      <c r="O180" s="1060"/>
      <c r="P180" s="1058"/>
      <c r="Q180" s="220">
        <f>SUM(Q181)</f>
        <v>575783000</v>
      </c>
      <c r="R180" s="220">
        <v>0</v>
      </c>
      <c r="S180" s="220">
        <f>Q180-R180</f>
        <v>575783000</v>
      </c>
      <c r="T180" s="274">
        <v>1</v>
      </c>
    </row>
    <row r="181" spans="1:24" ht="15" customHeight="1">
      <c r="A181" s="224"/>
      <c r="B181" s="222"/>
      <c r="C181" s="223"/>
      <c r="D181" s="394" t="s">
        <v>2057</v>
      </c>
      <c r="E181" s="1446"/>
      <c r="F181" s="1447"/>
      <c r="G181" s="1448"/>
      <c r="H181" s="1446"/>
      <c r="I181" s="1446"/>
      <c r="J181" s="1446"/>
      <c r="K181" s="1446"/>
      <c r="L181" s="1449"/>
      <c r="M181" s="1446"/>
      <c r="N181" s="1450"/>
      <c r="O181" s="1450"/>
      <c r="P181" s="1446"/>
      <c r="Q181" s="76">
        <f>SUM(Q182,Q185,Q193,Q205,Q209,Q212,Q217,Q220,Q224,Q228,Q234,Q239,Q244,Q253,Q259,Q269)</f>
        <v>575783000</v>
      </c>
      <c r="R181" s="76">
        <v>0</v>
      </c>
      <c r="S181" s="76">
        <f>Q181-R181</f>
        <v>575783000</v>
      </c>
      <c r="T181" s="573">
        <v>1</v>
      </c>
      <c r="U181" s="236"/>
    </row>
    <row r="182" spans="1:24" ht="15" hidden="1" customHeight="1">
      <c r="A182" s="224"/>
      <c r="B182" s="222"/>
      <c r="C182" s="223"/>
      <c r="D182" s="213"/>
      <c r="E182" s="66" t="s">
        <v>727</v>
      </c>
      <c r="F182" s="227"/>
      <c r="G182" s="228"/>
      <c r="H182" s="66"/>
      <c r="I182" s="66"/>
      <c r="J182" s="66"/>
      <c r="K182" s="66"/>
      <c r="L182" s="229"/>
      <c r="M182" s="66"/>
      <c r="N182" s="230"/>
      <c r="O182" s="230"/>
      <c r="P182" s="66"/>
      <c r="Q182" s="171">
        <f>+P183</f>
        <v>0</v>
      </c>
      <c r="R182" s="171">
        <v>0</v>
      </c>
      <c r="S182" s="171">
        <f>Q182-R182</f>
        <v>0</v>
      </c>
      <c r="T182" s="172">
        <v>1</v>
      </c>
      <c r="U182" s="236"/>
      <c r="W182" s="196">
        <v>2018</v>
      </c>
      <c r="X182" s="196">
        <v>2017</v>
      </c>
    </row>
    <row r="183" spans="1:24" ht="15" hidden="1" customHeight="1">
      <c r="A183" s="224"/>
      <c r="B183" s="222"/>
      <c r="C183" s="223"/>
      <c r="D183" s="222"/>
      <c r="E183" s="1605"/>
      <c r="F183" s="1606" t="s">
        <v>2058</v>
      </c>
      <c r="G183" s="1067"/>
      <c r="H183" s="1068"/>
      <c r="I183" s="1068"/>
      <c r="J183" s="1068"/>
      <c r="K183" s="1068"/>
      <c r="L183" s="1607"/>
      <c r="M183" s="1068"/>
      <c r="N183" s="1069"/>
      <c r="O183" s="1069"/>
      <c r="P183" s="1608">
        <f>SUM(P184)</f>
        <v>0</v>
      </c>
      <c r="Q183" s="428"/>
      <c r="R183" s="428"/>
      <c r="S183" s="428"/>
      <c r="T183" s="1609"/>
      <c r="U183" s="236"/>
      <c r="V183" s="196" t="s">
        <v>2133</v>
      </c>
      <c r="W183" s="236">
        <f>Q193+Q205+Q209+Q212+Q217+Q220+Q224+Q228+Q234+Q239</f>
        <v>94377000</v>
      </c>
      <c r="X183" s="236">
        <f>R193+R205+R209+R212+R217+R220+R224+R228+R234+R239</f>
        <v>0</v>
      </c>
    </row>
    <row r="184" spans="1:24" ht="15" hidden="1" customHeight="1">
      <c r="A184" s="224"/>
      <c r="B184" s="222"/>
      <c r="C184" s="223"/>
      <c r="D184" s="222"/>
      <c r="E184" s="279"/>
      <c r="F184" s="1610" t="s">
        <v>2059</v>
      </c>
      <c r="G184" s="1074"/>
      <c r="H184" s="1054" t="s">
        <v>1881</v>
      </c>
      <c r="I184" s="1611">
        <v>1</v>
      </c>
      <c r="J184" s="1054" t="s">
        <v>109</v>
      </c>
      <c r="K184" s="1076">
        <v>13</v>
      </c>
      <c r="L184" s="1612"/>
      <c r="M184" s="1613"/>
      <c r="N184" s="1077"/>
      <c r="O184" s="1077" t="s">
        <v>1882</v>
      </c>
      <c r="P184" s="1614">
        <f>ROUNDUP(G184*I184*K184,-3)</f>
        <v>0</v>
      </c>
      <c r="Q184" s="211"/>
      <c r="R184" s="211"/>
      <c r="S184" s="211"/>
      <c r="T184" s="1429"/>
      <c r="U184" s="236"/>
      <c r="V184" s="196" t="s">
        <v>2134</v>
      </c>
      <c r="W184" s="236">
        <f>Q244+Q253+Q259+Q269</f>
        <v>413766000</v>
      </c>
      <c r="X184" s="236">
        <f>R244+R253+R259+R269</f>
        <v>0</v>
      </c>
    </row>
    <row r="185" spans="1:24" ht="15" customHeight="1">
      <c r="A185" s="224"/>
      <c r="B185" s="225"/>
      <c r="C185" s="226"/>
      <c r="D185" s="225"/>
      <c r="E185" s="66" t="s">
        <v>1949</v>
      </c>
      <c r="F185" s="227"/>
      <c r="G185" s="228"/>
      <c r="H185" s="66"/>
      <c r="I185" s="66"/>
      <c r="J185" s="66"/>
      <c r="K185" s="66"/>
      <c r="L185" s="229"/>
      <c r="M185" s="66"/>
      <c r="N185" s="230"/>
      <c r="O185" s="230"/>
      <c r="P185" s="66"/>
      <c r="Q185" s="171">
        <f>+P186</f>
        <v>67640000</v>
      </c>
      <c r="R185" s="171">
        <v>0</v>
      </c>
      <c r="S185" s="171">
        <f>Q185-R185</f>
        <v>67640000</v>
      </c>
      <c r="T185" s="172">
        <v>1</v>
      </c>
    </row>
    <row r="186" spans="1:24" ht="15" customHeight="1">
      <c r="A186" s="224"/>
      <c r="B186" s="225"/>
      <c r="C186" s="226"/>
      <c r="D186" s="225"/>
      <c r="E186" s="226"/>
      <c r="F186" s="231" t="s">
        <v>730</v>
      </c>
      <c r="G186" s="249"/>
      <c r="H186" s="240"/>
      <c r="I186" s="240"/>
      <c r="J186" s="240"/>
      <c r="K186" s="240"/>
      <c r="L186" s="250"/>
      <c r="M186" s="240"/>
      <c r="N186" s="244"/>
      <c r="O186" s="244"/>
      <c r="P186" s="1061">
        <f>SUM(P187:P192)</f>
        <v>67640000</v>
      </c>
      <c r="Q186" s="235"/>
      <c r="R186" s="997"/>
      <c r="S186" s="235"/>
      <c r="T186" s="246"/>
    </row>
    <row r="187" spans="1:24" ht="15" customHeight="1">
      <c r="A187" s="224"/>
      <c r="B187" s="225"/>
      <c r="C187" s="226"/>
      <c r="D187" s="225"/>
      <c r="E187" s="237"/>
      <c r="F187" s="238" t="s">
        <v>731</v>
      </c>
      <c r="G187" s="252">
        <v>1750000</v>
      </c>
      <c r="H187" s="240" t="s">
        <v>1881</v>
      </c>
      <c r="I187" s="241">
        <v>2</v>
      </c>
      <c r="J187" s="240" t="s">
        <v>109</v>
      </c>
      <c r="K187" s="242">
        <v>10</v>
      </c>
      <c r="L187" s="243"/>
      <c r="M187" s="242"/>
      <c r="N187" s="244"/>
      <c r="O187" s="244" t="s">
        <v>1882</v>
      </c>
      <c r="P187" s="245">
        <f t="shared" ref="P187:P191" si="3">ROUNDUP(G187*I187*K187,-3)</f>
        <v>35000000</v>
      </c>
      <c r="Q187" s="235"/>
      <c r="R187" s="997"/>
      <c r="S187" s="235"/>
      <c r="T187" s="246"/>
      <c r="V187" s="236"/>
    </row>
    <row r="188" spans="1:24" ht="15" customHeight="1">
      <c r="A188" s="224"/>
      <c r="B188" s="225"/>
      <c r="C188" s="226"/>
      <c r="D188" s="225"/>
      <c r="E188" s="237"/>
      <c r="F188" s="238" t="s">
        <v>2060</v>
      </c>
      <c r="G188" s="252">
        <v>2000000</v>
      </c>
      <c r="H188" s="240" t="s">
        <v>1880</v>
      </c>
      <c r="I188" s="241">
        <v>1</v>
      </c>
      <c r="J188" s="240" t="s">
        <v>109</v>
      </c>
      <c r="K188" s="242">
        <v>10</v>
      </c>
      <c r="L188" s="243"/>
      <c r="M188" s="242"/>
      <c r="N188" s="244"/>
      <c r="O188" s="244" t="s">
        <v>1882</v>
      </c>
      <c r="P188" s="245">
        <f t="shared" si="3"/>
        <v>20000000</v>
      </c>
      <c r="Q188" s="235"/>
      <c r="R188" s="997"/>
      <c r="S188" s="235"/>
      <c r="T188" s="246"/>
    </row>
    <row r="189" spans="1:24" ht="15" hidden="1" customHeight="1">
      <c r="A189" s="224"/>
      <c r="B189" s="225"/>
      <c r="C189" s="226"/>
      <c r="D189" s="225"/>
      <c r="E189" s="247"/>
      <c r="F189" s="248" t="s">
        <v>1952</v>
      </c>
      <c r="G189" s="249"/>
      <c r="H189" s="240" t="s">
        <v>1881</v>
      </c>
      <c r="I189" s="241">
        <v>2</v>
      </c>
      <c r="J189" s="240" t="s">
        <v>109</v>
      </c>
      <c r="K189" s="242">
        <v>12</v>
      </c>
      <c r="L189" s="243"/>
      <c r="M189" s="242"/>
      <c r="N189" s="244"/>
      <c r="O189" s="244" t="s">
        <v>1882</v>
      </c>
      <c r="P189" s="245">
        <f t="shared" si="3"/>
        <v>0</v>
      </c>
      <c r="Q189" s="235"/>
      <c r="R189" s="997"/>
      <c r="S189" s="235"/>
      <c r="T189" s="246"/>
      <c r="W189" s="275"/>
    </row>
    <row r="190" spans="1:24" ht="15" hidden="1" customHeight="1">
      <c r="A190" s="224"/>
      <c r="B190" s="225"/>
      <c r="C190" s="226"/>
      <c r="D190" s="225"/>
      <c r="E190" s="247"/>
      <c r="F190" s="248" t="s">
        <v>2061</v>
      </c>
      <c r="G190" s="249"/>
      <c r="H190" s="240" t="s">
        <v>1880</v>
      </c>
      <c r="I190" s="241">
        <v>1</v>
      </c>
      <c r="J190" s="240" t="s">
        <v>109</v>
      </c>
      <c r="K190" s="242">
        <v>12</v>
      </c>
      <c r="L190" s="240"/>
      <c r="M190" s="2006"/>
      <c r="N190" s="2006"/>
      <c r="O190" s="244" t="s">
        <v>1882</v>
      </c>
      <c r="P190" s="245">
        <f t="shared" si="3"/>
        <v>0</v>
      </c>
      <c r="Q190" s="235"/>
      <c r="R190" s="997"/>
      <c r="S190" s="235"/>
      <c r="T190" s="246"/>
    </row>
    <row r="191" spans="1:24" ht="15" customHeight="1">
      <c r="A191" s="224"/>
      <c r="B191" s="225"/>
      <c r="C191" s="226"/>
      <c r="D191" s="225"/>
      <c r="E191" s="247"/>
      <c r="F191" s="248" t="s">
        <v>1954</v>
      </c>
      <c r="G191" s="249">
        <v>85000</v>
      </c>
      <c r="H191" s="240" t="s">
        <v>1881</v>
      </c>
      <c r="I191" s="241">
        <v>8</v>
      </c>
      <c r="J191" s="240" t="s">
        <v>109</v>
      </c>
      <c r="K191" s="1392">
        <v>8</v>
      </c>
      <c r="L191" s="240"/>
      <c r="M191" s="1122"/>
      <c r="N191" s="240"/>
      <c r="O191" s="244" t="s">
        <v>1897</v>
      </c>
      <c r="P191" s="245">
        <f t="shared" si="3"/>
        <v>5440000</v>
      </c>
      <c r="Q191" s="235"/>
      <c r="R191" s="997"/>
      <c r="S191" s="235"/>
      <c r="T191" s="246"/>
    </row>
    <row r="192" spans="1:24" ht="15" customHeight="1">
      <c r="A192" s="576"/>
      <c r="B192" s="278"/>
      <c r="C192" s="279"/>
      <c r="D192" s="278"/>
      <c r="E192" s="280"/>
      <c r="F192" s="281" t="s">
        <v>2062</v>
      </c>
      <c r="G192" s="282">
        <v>72000000</v>
      </c>
      <c r="H192" s="283" t="s">
        <v>1880</v>
      </c>
      <c r="I192" s="2002" t="s">
        <v>2063</v>
      </c>
      <c r="J192" s="2002"/>
      <c r="K192" s="284"/>
      <c r="L192" s="1402"/>
      <c r="M192" s="284"/>
      <c r="N192" s="285"/>
      <c r="O192" s="285" t="s">
        <v>281</v>
      </c>
      <c r="P192" s="286">
        <f>G192/10</f>
        <v>7200000</v>
      </c>
      <c r="Q192" s="287"/>
      <c r="R192" s="1027"/>
      <c r="S192" s="287"/>
      <c r="T192" s="288"/>
    </row>
    <row r="193" spans="1:23" ht="15" customHeight="1">
      <c r="A193" s="224"/>
      <c r="B193" s="225"/>
      <c r="C193" s="226"/>
      <c r="D193" s="225"/>
      <c r="E193" s="363" t="s">
        <v>2064</v>
      </c>
      <c r="F193" s="364"/>
      <c r="G193" s="365"/>
      <c r="H193" s="363"/>
      <c r="I193" s="363"/>
      <c r="J193" s="363"/>
      <c r="K193" s="363"/>
      <c r="L193" s="366"/>
      <c r="M193" s="363"/>
      <c r="N193" s="367"/>
      <c r="O193" s="367"/>
      <c r="P193" s="363"/>
      <c r="Q193" s="188">
        <f>SUM(P194,P200,P202)</f>
        <v>37937000</v>
      </c>
      <c r="R193" s="188">
        <v>0</v>
      </c>
      <c r="S193" s="188">
        <f>Q193-R193</f>
        <v>37937000</v>
      </c>
      <c r="T193" s="570">
        <v>1</v>
      </c>
    </row>
    <row r="194" spans="1:23" ht="15" customHeight="1">
      <c r="A194" s="224"/>
      <c r="B194" s="225"/>
      <c r="C194" s="226"/>
      <c r="D194" s="225"/>
      <c r="E194" s="226"/>
      <c r="F194" s="231" t="s">
        <v>2065</v>
      </c>
      <c r="G194" s="249"/>
      <c r="H194" s="240"/>
      <c r="I194" s="240"/>
      <c r="J194" s="240"/>
      <c r="K194" s="240"/>
      <c r="L194" s="250"/>
      <c r="M194" s="240"/>
      <c r="N194" s="244"/>
      <c r="O194" s="244"/>
      <c r="P194" s="1061">
        <f>SUM(P195:P199)</f>
        <v>15937000</v>
      </c>
      <c r="Q194" s="235"/>
      <c r="R194" s="997"/>
      <c r="S194" s="235"/>
      <c r="T194" s="246"/>
    </row>
    <row r="195" spans="1:23" ht="15" customHeight="1">
      <c r="A195" s="224"/>
      <c r="B195" s="225"/>
      <c r="C195" s="226"/>
      <c r="D195" s="225"/>
      <c r="E195" s="237"/>
      <c r="F195" s="238" t="s">
        <v>2066</v>
      </c>
      <c r="G195" s="252">
        <v>158400000</v>
      </c>
      <c r="H195" s="240" t="s">
        <v>1880</v>
      </c>
      <c r="I195" s="1993">
        <v>4.4999999999999998E-2</v>
      </c>
      <c r="J195" s="1993"/>
      <c r="K195" s="242"/>
      <c r="L195" s="243"/>
      <c r="M195" s="242"/>
      <c r="N195" s="244"/>
      <c r="O195" s="244" t="s">
        <v>1897</v>
      </c>
      <c r="P195" s="245">
        <f>ROUNDUP(G195*I195,-3)</f>
        <v>7128000</v>
      </c>
      <c r="Q195" s="235"/>
      <c r="R195" s="997"/>
      <c r="S195" s="235"/>
      <c r="T195" s="246"/>
    </row>
    <row r="196" spans="1:23" ht="15" customHeight="1">
      <c r="A196" s="224"/>
      <c r="B196" s="225"/>
      <c r="C196" s="226"/>
      <c r="D196" s="225"/>
      <c r="E196" s="247"/>
      <c r="F196" s="248" t="s">
        <v>1963</v>
      </c>
      <c r="G196" s="252">
        <v>158400000</v>
      </c>
      <c r="H196" s="240" t="s">
        <v>1881</v>
      </c>
      <c r="I196" s="1993">
        <v>3.0599999999999999E-2</v>
      </c>
      <c r="J196" s="1993"/>
      <c r="K196" s="242"/>
      <c r="L196" s="243"/>
      <c r="M196" s="242"/>
      <c r="N196" s="244"/>
      <c r="O196" s="244" t="s">
        <v>1897</v>
      </c>
      <c r="P196" s="245">
        <f>ROUNDUP(G196*I196,-3)</f>
        <v>4848000</v>
      </c>
      <c r="Q196" s="235"/>
      <c r="R196" s="997"/>
      <c r="S196" s="235"/>
      <c r="T196" s="246"/>
    </row>
    <row r="197" spans="1:23" ht="15" customHeight="1">
      <c r="A197" s="224"/>
      <c r="B197" s="225"/>
      <c r="C197" s="226"/>
      <c r="D197" s="225"/>
      <c r="E197" s="247"/>
      <c r="F197" s="248" t="s">
        <v>2067</v>
      </c>
      <c r="G197" s="252">
        <v>4848000</v>
      </c>
      <c r="H197" s="240" t="s">
        <v>1880</v>
      </c>
      <c r="I197" s="2004">
        <v>3.2750000000000001E-2</v>
      </c>
      <c r="J197" s="2004"/>
      <c r="K197" s="242"/>
      <c r="L197" s="243"/>
      <c r="M197" s="242"/>
      <c r="N197" s="244"/>
      <c r="O197" s="244" t="s">
        <v>1897</v>
      </c>
      <c r="P197" s="245">
        <f>ROUNDUP(G197*I197,-3)</f>
        <v>159000</v>
      </c>
      <c r="Q197" s="235"/>
      <c r="R197" s="997"/>
      <c r="S197" s="235"/>
      <c r="T197" s="246"/>
    </row>
    <row r="198" spans="1:23" ht="15" customHeight="1">
      <c r="A198" s="224"/>
      <c r="B198" s="225"/>
      <c r="C198" s="226"/>
      <c r="D198" s="225"/>
      <c r="E198" s="247"/>
      <c r="F198" s="248" t="s">
        <v>1965</v>
      </c>
      <c r="G198" s="252">
        <v>158400000</v>
      </c>
      <c r="H198" s="240" t="s">
        <v>1881</v>
      </c>
      <c r="I198" s="2004">
        <v>1.4999999999999999E-2</v>
      </c>
      <c r="J198" s="2004"/>
      <c r="K198" s="242"/>
      <c r="L198" s="243"/>
      <c r="M198" s="242"/>
      <c r="N198" s="244"/>
      <c r="O198" s="244" t="s">
        <v>1897</v>
      </c>
      <c r="P198" s="245">
        <f>ROUNDUP(G198*I198,-3)</f>
        <v>2376000</v>
      </c>
      <c r="Q198" s="235"/>
      <c r="R198" s="997"/>
      <c r="S198" s="235"/>
      <c r="T198" s="246"/>
    </row>
    <row r="199" spans="1:23" ht="15" customHeight="1">
      <c r="A199" s="224"/>
      <c r="B199" s="225"/>
      <c r="C199" s="226"/>
      <c r="D199" s="225"/>
      <c r="E199" s="247"/>
      <c r="F199" s="248" t="s">
        <v>1966</v>
      </c>
      <c r="G199" s="252">
        <v>158400000</v>
      </c>
      <c r="H199" s="240" t="s">
        <v>1881</v>
      </c>
      <c r="I199" s="2004">
        <v>8.9999999999999993E-3</v>
      </c>
      <c r="J199" s="2004"/>
      <c r="K199" s="242"/>
      <c r="L199" s="243"/>
      <c r="M199" s="242"/>
      <c r="N199" s="244"/>
      <c r="O199" s="244" t="s">
        <v>1897</v>
      </c>
      <c r="P199" s="245">
        <f>ROUNDUP(G199*I199,-3)</f>
        <v>1426000</v>
      </c>
      <c r="Q199" s="235"/>
      <c r="R199" s="997"/>
      <c r="S199" s="235"/>
      <c r="T199" s="246"/>
      <c r="W199" s="275"/>
    </row>
    <row r="200" spans="1:23" ht="15" customHeight="1">
      <c r="A200" s="224"/>
      <c r="B200" s="225"/>
      <c r="C200" s="226"/>
      <c r="D200" s="225"/>
      <c r="E200" s="226"/>
      <c r="F200" s="231" t="s">
        <v>1932</v>
      </c>
      <c r="G200" s="249"/>
      <c r="H200" s="240"/>
      <c r="I200" s="240"/>
      <c r="J200" s="240"/>
      <c r="K200" s="240"/>
      <c r="L200" s="250"/>
      <c r="M200" s="240"/>
      <c r="N200" s="244"/>
      <c r="O200" s="244"/>
      <c r="P200" s="1061">
        <f>SUM(P201:P201)</f>
        <v>7200000</v>
      </c>
      <c r="Q200" s="235"/>
      <c r="R200" s="997"/>
      <c r="S200" s="235"/>
      <c r="T200" s="246"/>
    </row>
    <row r="201" spans="1:23" ht="15" customHeight="1">
      <c r="A201" s="224"/>
      <c r="B201" s="225"/>
      <c r="C201" s="226"/>
      <c r="D201" s="225"/>
      <c r="E201" s="247"/>
      <c r="F201" s="248" t="s">
        <v>2068</v>
      </c>
      <c r="G201" s="252">
        <v>8000</v>
      </c>
      <c r="H201" s="240" t="s">
        <v>1881</v>
      </c>
      <c r="I201" s="241">
        <v>5</v>
      </c>
      <c r="J201" s="240" t="s">
        <v>109</v>
      </c>
      <c r="K201" s="1122">
        <v>18</v>
      </c>
      <c r="L201" s="240" t="s">
        <v>109</v>
      </c>
      <c r="M201" s="2005">
        <v>10</v>
      </c>
      <c r="N201" s="2005"/>
      <c r="O201" s="244" t="s">
        <v>1897</v>
      </c>
      <c r="P201" s="245">
        <f>ROUNDUP(G201*I201*K201*M201,-3)</f>
        <v>7200000</v>
      </c>
      <c r="Q201" s="235"/>
      <c r="R201" s="997"/>
      <c r="S201" s="235"/>
      <c r="T201" s="246"/>
    </row>
    <row r="202" spans="1:23" ht="15" customHeight="1">
      <c r="A202" s="224"/>
      <c r="B202" s="225"/>
      <c r="C202" s="226"/>
      <c r="D202" s="225"/>
      <c r="E202" s="226"/>
      <c r="F202" s="231" t="s">
        <v>2069</v>
      </c>
      <c r="G202" s="249"/>
      <c r="H202" s="240"/>
      <c r="I202" s="240"/>
      <c r="J202" s="240"/>
      <c r="K202" s="240"/>
      <c r="L202" s="250"/>
      <c r="M202" s="240"/>
      <c r="N202" s="244"/>
      <c r="O202" s="244"/>
      <c r="P202" s="1061">
        <f>SUM(P203:P204)</f>
        <v>14800000</v>
      </c>
      <c r="Q202" s="235"/>
      <c r="R202" s="997"/>
      <c r="S202" s="235"/>
      <c r="T202" s="246"/>
    </row>
    <row r="203" spans="1:23" ht="15" customHeight="1">
      <c r="A203" s="224"/>
      <c r="B203" s="225"/>
      <c r="C203" s="226"/>
      <c r="D203" s="225"/>
      <c r="E203" s="237"/>
      <c r="F203" s="238" t="s">
        <v>2070</v>
      </c>
      <c r="G203" s="252">
        <v>400000</v>
      </c>
      <c r="H203" s="240" t="s">
        <v>1881</v>
      </c>
      <c r="I203" s="1615">
        <v>7</v>
      </c>
      <c r="J203" s="240"/>
      <c r="K203" s="242"/>
      <c r="L203" s="243"/>
      <c r="M203" s="242"/>
      <c r="N203" s="244"/>
      <c r="O203" s="244" t="s">
        <v>1897</v>
      </c>
      <c r="P203" s="245">
        <f>ROUNDUP(G203*I203,-3)</f>
        <v>2800000</v>
      </c>
      <c r="Q203" s="235"/>
      <c r="R203" s="997"/>
      <c r="S203" s="235"/>
      <c r="T203" s="246"/>
    </row>
    <row r="204" spans="1:23" ht="15" customHeight="1">
      <c r="A204" s="224"/>
      <c r="B204" s="225"/>
      <c r="C204" s="226"/>
      <c r="D204" s="225"/>
      <c r="E204" s="237"/>
      <c r="F204" s="238" t="s">
        <v>2071</v>
      </c>
      <c r="G204" s="1167">
        <v>1000000</v>
      </c>
      <c r="H204" s="240" t="s">
        <v>1881</v>
      </c>
      <c r="I204" s="241">
        <v>12</v>
      </c>
      <c r="J204" s="240"/>
      <c r="K204" s="242"/>
      <c r="L204" s="243"/>
      <c r="M204" s="242"/>
      <c r="N204" s="244"/>
      <c r="O204" s="244" t="s">
        <v>1897</v>
      </c>
      <c r="P204" s="245">
        <f>ROUNDUP(G204*I204,-3)</f>
        <v>12000000</v>
      </c>
      <c r="Q204" s="235"/>
      <c r="R204" s="997"/>
      <c r="S204" s="235"/>
      <c r="T204" s="246"/>
    </row>
    <row r="205" spans="1:23" ht="15" customHeight="1">
      <c r="A205" s="224"/>
      <c r="B205" s="225"/>
      <c r="C205" s="226"/>
      <c r="D205" s="225"/>
      <c r="E205" s="66" t="s">
        <v>2072</v>
      </c>
      <c r="F205" s="227"/>
      <c r="G205" s="228"/>
      <c r="H205" s="66"/>
      <c r="I205" s="66"/>
      <c r="J205" s="66"/>
      <c r="K205" s="66"/>
      <c r="L205" s="229"/>
      <c r="M205" s="66"/>
      <c r="N205" s="230"/>
      <c r="O205" s="230"/>
      <c r="P205" s="66"/>
      <c r="Q205" s="171">
        <f>+P206</f>
        <v>15400000</v>
      </c>
      <c r="R205" s="171">
        <v>0</v>
      </c>
      <c r="S205" s="171">
        <f>Q205-R205</f>
        <v>15400000</v>
      </c>
      <c r="T205" s="172">
        <v>1</v>
      </c>
      <c r="W205" s="275"/>
    </row>
    <row r="206" spans="1:23" ht="15" customHeight="1">
      <c r="A206" s="224"/>
      <c r="B206" s="225"/>
      <c r="C206" s="226"/>
      <c r="D206" s="225"/>
      <c r="E206" s="226"/>
      <c r="F206" s="231" t="s">
        <v>2073</v>
      </c>
      <c r="G206" s="249"/>
      <c r="H206" s="240"/>
      <c r="I206" s="240"/>
      <c r="J206" s="240"/>
      <c r="K206" s="240"/>
      <c r="L206" s="250"/>
      <c r="M206" s="240"/>
      <c r="N206" s="244"/>
      <c r="O206" s="244"/>
      <c r="P206" s="1061">
        <f>SUM(P207:P208)</f>
        <v>15400000</v>
      </c>
      <c r="Q206" s="235"/>
      <c r="R206" s="997"/>
      <c r="S206" s="235"/>
      <c r="T206" s="246"/>
    </row>
    <row r="207" spans="1:23" ht="15" customHeight="1">
      <c r="A207" s="224"/>
      <c r="B207" s="225"/>
      <c r="C207" s="226"/>
      <c r="D207" s="225"/>
      <c r="E207" s="237"/>
      <c r="F207" s="238" t="s">
        <v>2074</v>
      </c>
      <c r="G207" s="252">
        <v>120000</v>
      </c>
      <c r="H207" s="240" t="s">
        <v>1881</v>
      </c>
      <c r="I207" s="241">
        <v>11</v>
      </c>
      <c r="J207" s="240" t="s">
        <v>109</v>
      </c>
      <c r="K207" s="242">
        <v>10</v>
      </c>
      <c r="L207" s="243"/>
      <c r="M207" s="242"/>
      <c r="N207" s="244"/>
      <c r="O207" s="244" t="s">
        <v>1897</v>
      </c>
      <c r="P207" s="245">
        <f>G207*I207*K207</f>
        <v>13200000</v>
      </c>
      <c r="Q207" s="235"/>
      <c r="R207" s="997"/>
      <c r="S207" s="235"/>
      <c r="T207" s="246"/>
    </row>
    <row r="208" spans="1:23" ht="15" customHeight="1">
      <c r="A208" s="224"/>
      <c r="B208" s="225"/>
      <c r="C208" s="226"/>
      <c r="D208" s="225"/>
      <c r="E208" s="247"/>
      <c r="F208" s="248" t="s">
        <v>2075</v>
      </c>
      <c r="G208" s="249">
        <v>40000</v>
      </c>
      <c r="H208" s="240" t="s">
        <v>1880</v>
      </c>
      <c r="I208" s="241">
        <v>5</v>
      </c>
      <c r="J208" s="240" t="s">
        <v>109</v>
      </c>
      <c r="K208" s="1122">
        <v>11</v>
      </c>
      <c r="L208" s="243"/>
      <c r="M208" s="242"/>
      <c r="N208" s="244"/>
      <c r="O208" s="244" t="s">
        <v>1897</v>
      </c>
      <c r="P208" s="245">
        <f>G208*I208*K208</f>
        <v>2200000</v>
      </c>
      <c r="Q208" s="235"/>
      <c r="R208" s="997"/>
      <c r="S208" s="235"/>
      <c r="T208" s="246"/>
    </row>
    <row r="209" spans="1:23" ht="15" customHeight="1">
      <c r="A209" s="224"/>
      <c r="B209" s="225"/>
      <c r="C209" s="226"/>
      <c r="D209" s="225"/>
      <c r="E209" s="66" t="s">
        <v>1967</v>
      </c>
      <c r="F209" s="227"/>
      <c r="G209" s="228"/>
      <c r="H209" s="66"/>
      <c r="I209" s="66"/>
      <c r="J209" s="66"/>
      <c r="K209" s="66"/>
      <c r="L209" s="229"/>
      <c r="M209" s="66"/>
      <c r="N209" s="230"/>
      <c r="O209" s="230"/>
      <c r="P209" s="66"/>
      <c r="Q209" s="171">
        <f>+P210</f>
        <v>1000000</v>
      </c>
      <c r="R209" s="171">
        <v>0</v>
      </c>
      <c r="S209" s="171">
        <f>Q209-R209</f>
        <v>1000000</v>
      </c>
      <c r="T209" s="172">
        <v>1</v>
      </c>
    </row>
    <row r="210" spans="1:23" ht="15" customHeight="1">
      <c r="A210" s="224"/>
      <c r="B210" s="225"/>
      <c r="C210" s="226"/>
      <c r="D210" s="225"/>
      <c r="E210" s="226"/>
      <c r="F210" s="231" t="s">
        <v>2076</v>
      </c>
      <c r="G210" s="249"/>
      <c r="H210" s="240"/>
      <c r="I210" s="240"/>
      <c r="J210" s="240"/>
      <c r="K210" s="240"/>
      <c r="L210" s="250"/>
      <c r="M210" s="240"/>
      <c r="N210" s="244"/>
      <c r="O210" s="244"/>
      <c r="P210" s="1061">
        <f>SUM(P211:P211)</f>
        <v>1000000</v>
      </c>
      <c r="Q210" s="235"/>
      <c r="R210" s="997"/>
      <c r="S210" s="235"/>
      <c r="T210" s="246"/>
    </row>
    <row r="211" spans="1:23" ht="15" customHeight="1">
      <c r="A211" s="224"/>
      <c r="B211" s="225"/>
      <c r="C211" s="226"/>
      <c r="D211" s="225"/>
      <c r="E211" s="237"/>
      <c r="F211" s="238" t="s">
        <v>2077</v>
      </c>
      <c r="G211" s="252">
        <v>250000</v>
      </c>
      <c r="H211" s="240" t="s">
        <v>1881</v>
      </c>
      <c r="I211" s="256">
        <v>4</v>
      </c>
      <c r="J211" s="240"/>
      <c r="K211" s="242"/>
      <c r="L211" s="243"/>
      <c r="M211" s="242"/>
      <c r="N211" s="244"/>
      <c r="O211" s="244" t="s">
        <v>1882</v>
      </c>
      <c r="P211" s="245">
        <f>ROUNDUP(G211*I211,-3)</f>
        <v>1000000</v>
      </c>
      <c r="Q211" s="235"/>
      <c r="R211" s="997"/>
      <c r="S211" s="235"/>
      <c r="T211" s="246"/>
    </row>
    <row r="212" spans="1:23" ht="15" customHeight="1">
      <c r="A212" s="224"/>
      <c r="B212" s="225"/>
      <c r="C212" s="226"/>
      <c r="D212" s="225"/>
      <c r="E212" s="66" t="s">
        <v>2078</v>
      </c>
      <c r="F212" s="227"/>
      <c r="G212" s="228"/>
      <c r="H212" s="66"/>
      <c r="I212" s="66"/>
      <c r="J212" s="66"/>
      <c r="K212" s="66"/>
      <c r="L212" s="229"/>
      <c r="M212" s="66"/>
      <c r="N212" s="230"/>
      <c r="O212" s="230"/>
      <c r="P212" s="66"/>
      <c r="Q212" s="171">
        <f>SUM(P213,P215)</f>
        <v>1000000</v>
      </c>
      <c r="R212" s="171">
        <v>0</v>
      </c>
      <c r="S212" s="171">
        <f>Q212-R212</f>
        <v>1000000</v>
      </c>
      <c r="T212" s="172">
        <v>1</v>
      </c>
    </row>
    <row r="213" spans="1:23" ht="15" customHeight="1">
      <c r="A213" s="224"/>
      <c r="B213" s="225"/>
      <c r="C213" s="226"/>
      <c r="D213" s="225"/>
      <c r="E213" s="226"/>
      <c r="F213" s="231" t="s">
        <v>1980</v>
      </c>
      <c r="G213" s="249"/>
      <c r="H213" s="240"/>
      <c r="I213" s="240"/>
      <c r="J213" s="240"/>
      <c r="K213" s="240"/>
      <c r="L213" s="250"/>
      <c r="M213" s="240"/>
      <c r="N213" s="244"/>
      <c r="O213" s="244"/>
      <c r="P213" s="1061">
        <f>SUM(P214:P214)</f>
        <v>500000</v>
      </c>
      <c r="Q213" s="235"/>
      <c r="R213" s="997"/>
      <c r="S213" s="235"/>
      <c r="T213" s="246"/>
    </row>
    <row r="214" spans="1:23" ht="15" customHeight="1">
      <c r="A214" s="224"/>
      <c r="B214" s="225"/>
      <c r="C214" s="226"/>
      <c r="D214" s="225"/>
      <c r="E214" s="237"/>
      <c r="F214" s="238" t="s">
        <v>2079</v>
      </c>
      <c r="G214" s="252">
        <v>50000</v>
      </c>
      <c r="H214" s="240" t="s">
        <v>1881</v>
      </c>
      <c r="I214" s="242">
        <v>10</v>
      </c>
      <c r="J214" s="240"/>
      <c r="K214" s="242"/>
      <c r="L214" s="243"/>
      <c r="M214" s="242"/>
      <c r="N214" s="244"/>
      <c r="O214" s="244" t="s">
        <v>1897</v>
      </c>
      <c r="P214" s="245">
        <f>ROUNDUP(G214*I214,-3)</f>
        <v>500000</v>
      </c>
      <c r="Q214" s="235"/>
      <c r="R214" s="997"/>
      <c r="S214" s="235"/>
      <c r="T214" s="246"/>
    </row>
    <row r="215" spans="1:23" ht="15" customHeight="1">
      <c r="A215" s="224"/>
      <c r="B215" s="225"/>
      <c r="C215" s="226"/>
      <c r="D215" s="225"/>
      <c r="E215" s="226"/>
      <c r="F215" s="231" t="s">
        <v>2080</v>
      </c>
      <c r="G215" s="249"/>
      <c r="H215" s="240"/>
      <c r="I215" s="240"/>
      <c r="J215" s="240"/>
      <c r="K215" s="240"/>
      <c r="L215" s="250"/>
      <c r="M215" s="240"/>
      <c r="N215" s="244"/>
      <c r="O215" s="244"/>
      <c r="P215" s="1061">
        <f>SUM(P216:P216)</f>
        <v>500000</v>
      </c>
      <c r="Q215" s="235"/>
      <c r="R215" s="997"/>
      <c r="S215" s="235"/>
      <c r="T215" s="246"/>
    </row>
    <row r="216" spans="1:23" ht="15" customHeight="1">
      <c r="A216" s="224"/>
      <c r="B216" s="225"/>
      <c r="C216" s="226"/>
      <c r="D216" s="225"/>
      <c r="E216" s="237"/>
      <c r="F216" s="238" t="s">
        <v>2081</v>
      </c>
      <c r="G216" s="252">
        <v>50000</v>
      </c>
      <c r="H216" s="240" t="s">
        <v>1880</v>
      </c>
      <c r="I216" s="242">
        <v>10</v>
      </c>
      <c r="J216" s="240"/>
      <c r="K216" s="242"/>
      <c r="L216" s="243"/>
      <c r="M216" s="242"/>
      <c r="N216" s="244"/>
      <c r="O216" s="244" t="s">
        <v>1882</v>
      </c>
      <c r="P216" s="245">
        <f>ROUNDUP(G216*I216,-3)</f>
        <v>500000</v>
      </c>
      <c r="Q216" s="235"/>
      <c r="R216" s="997"/>
      <c r="S216" s="235"/>
      <c r="T216" s="246"/>
    </row>
    <row r="217" spans="1:23" ht="15" customHeight="1">
      <c r="A217" s="224"/>
      <c r="B217" s="225"/>
      <c r="C217" s="226"/>
      <c r="D217" s="225"/>
      <c r="E217" s="66" t="s">
        <v>2082</v>
      </c>
      <c r="F217" s="227"/>
      <c r="G217" s="228"/>
      <c r="H217" s="66"/>
      <c r="I217" s="66"/>
      <c r="J217" s="66"/>
      <c r="K217" s="66"/>
      <c r="L217" s="229"/>
      <c r="M217" s="66"/>
      <c r="N217" s="230"/>
      <c r="O217" s="230"/>
      <c r="P217" s="66"/>
      <c r="Q217" s="171">
        <f>+P218</f>
        <v>880000</v>
      </c>
      <c r="R217" s="171">
        <v>0</v>
      </c>
      <c r="S217" s="171">
        <f>Q217-R217</f>
        <v>880000</v>
      </c>
      <c r="T217" s="172">
        <v>1</v>
      </c>
      <c r="W217" s="275"/>
    </row>
    <row r="218" spans="1:23" ht="15" customHeight="1">
      <c r="A218" s="224"/>
      <c r="B218" s="225"/>
      <c r="C218" s="226"/>
      <c r="D218" s="225"/>
      <c r="E218" s="226"/>
      <c r="F218" s="96" t="s">
        <v>2083</v>
      </c>
      <c r="G218" s="123"/>
      <c r="H218" s="106"/>
      <c r="I218" s="106"/>
      <c r="J218" s="106"/>
      <c r="K218" s="106"/>
      <c r="L218" s="124"/>
      <c r="M218" s="106"/>
      <c r="N218" s="110"/>
      <c r="O218" s="110"/>
      <c r="P218" s="938">
        <f>SUM(P219:P219)</f>
        <v>880000</v>
      </c>
      <c r="Q218" s="235"/>
      <c r="R218" s="997"/>
      <c r="S218" s="235"/>
      <c r="T218" s="246"/>
    </row>
    <row r="219" spans="1:23" ht="15" customHeight="1">
      <c r="A219" s="224"/>
      <c r="B219" s="225"/>
      <c r="C219" s="226"/>
      <c r="D219" s="225"/>
      <c r="E219" s="237"/>
      <c r="F219" s="126" t="s">
        <v>2084</v>
      </c>
      <c r="G219" s="121">
        <v>80000</v>
      </c>
      <c r="H219" s="106" t="s">
        <v>1880</v>
      </c>
      <c r="I219" s="107">
        <v>11</v>
      </c>
      <c r="J219" s="106"/>
      <c r="K219" s="108"/>
      <c r="L219" s="109"/>
      <c r="M219" s="108"/>
      <c r="N219" s="110"/>
      <c r="O219" s="110" t="s">
        <v>1882</v>
      </c>
      <c r="P219" s="111">
        <f>ROUNDUP(G219*I219,-3)</f>
        <v>880000</v>
      </c>
      <c r="Q219" s="235"/>
      <c r="R219" s="997"/>
      <c r="S219" s="235"/>
      <c r="T219" s="246"/>
      <c r="W219" s="275"/>
    </row>
    <row r="220" spans="1:23" ht="15" customHeight="1">
      <c r="A220" s="224"/>
      <c r="B220" s="225"/>
      <c r="C220" s="226"/>
      <c r="D220" s="225"/>
      <c r="E220" s="66" t="s">
        <v>2085</v>
      </c>
      <c r="F220" s="227"/>
      <c r="G220" s="228"/>
      <c r="H220" s="66"/>
      <c r="I220" s="66"/>
      <c r="J220" s="66"/>
      <c r="K220" s="66"/>
      <c r="L220" s="229"/>
      <c r="M220" s="66"/>
      <c r="N220" s="230"/>
      <c r="O220" s="230"/>
      <c r="P220" s="66"/>
      <c r="Q220" s="171">
        <f>+P221</f>
        <v>5780000</v>
      </c>
      <c r="R220" s="171">
        <v>0</v>
      </c>
      <c r="S220" s="171">
        <f>Q220-R220</f>
        <v>5780000</v>
      </c>
      <c r="T220" s="172">
        <v>1</v>
      </c>
    </row>
    <row r="221" spans="1:23" ht="15" customHeight="1">
      <c r="A221" s="224"/>
      <c r="B221" s="225"/>
      <c r="C221" s="226"/>
      <c r="D221" s="225"/>
      <c r="E221" s="226"/>
      <c r="F221" s="96" t="s">
        <v>402</v>
      </c>
      <c r="G221" s="123"/>
      <c r="H221" s="106"/>
      <c r="I221" s="106"/>
      <c r="J221" s="106"/>
      <c r="K221" s="106"/>
      <c r="L221" s="124"/>
      <c r="M221" s="106"/>
      <c r="N221" s="110"/>
      <c r="O221" s="110"/>
      <c r="P221" s="938">
        <f>SUM(P222:P223)</f>
        <v>5780000</v>
      </c>
      <c r="Q221" s="235"/>
      <c r="R221" s="997"/>
      <c r="S221" s="235"/>
      <c r="T221" s="246"/>
    </row>
    <row r="222" spans="1:23" ht="15" customHeight="1">
      <c r="A222" s="224"/>
      <c r="B222" s="225"/>
      <c r="C222" s="226"/>
      <c r="D222" s="225"/>
      <c r="E222" s="237"/>
      <c r="F222" s="126" t="s">
        <v>753</v>
      </c>
      <c r="G222" s="121">
        <v>70000</v>
      </c>
      <c r="H222" s="106" t="s">
        <v>1880</v>
      </c>
      <c r="I222" s="142">
        <v>4</v>
      </c>
      <c r="J222" s="106"/>
      <c r="K222" s="108"/>
      <c r="L222" s="109"/>
      <c r="M222" s="108"/>
      <c r="N222" s="110"/>
      <c r="O222" s="110" t="s">
        <v>281</v>
      </c>
      <c r="P222" s="111">
        <f>ROUNDUP(G222*I222,-3)</f>
        <v>280000</v>
      </c>
      <c r="Q222" s="235"/>
      <c r="R222" s="997"/>
      <c r="S222" s="235"/>
      <c r="T222" s="246"/>
    </row>
    <row r="223" spans="1:23" ht="15" customHeight="1">
      <c r="A223" s="224"/>
      <c r="B223" s="225"/>
      <c r="C223" s="226"/>
      <c r="D223" s="225"/>
      <c r="E223" s="247"/>
      <c r="F223" s="104" t="s">
        <v>2765</v>
      </c>
      <c r="G223" s="123">
        <v>5500000</v>
      </c>
      <c r="H223" s="106" t="s">
        <v>282</v>
      </c>
      <c r="I223" s="142">
        <v>1</v>
      </c>
      <c r="J223" s="106"/>
      <c r="K223" s="108"/>
      <c r="L223" s="109"/>
      <c r="M223" s="108"/>
      <c r="N223" s="110"/>
      <c r="O223" s="110" t="s">
        <v>281</v>
      </c>
      <c r="P223" s="111">
        <f>ROUNDUP(G223*I223,-3)</f>
        <v>5500000</v>
      </c>
      <c r="Q223" s="235"/>
      <c r="R223" s="997"/>
      <c r="S223" s="235"/>
      <c r="T223" s="246"/>
    </row>
    <row r="224" spans="1:23" ht="15" customHeight="1">
      <c r="A224" s="224"/>
      <c r="B224" s="225"/>
      <c r="C224" s="226"/>
      <c r="D224" s="225"/>
      <c r="E224" s="66" t="s">
        <v>2086</v>
      </c>
      <c r="F224" s="227"/>
      <c r="G224" s="228"/>
      <c r="H224" s="66"/>
      <c r="I224" s="66"/>
      <c r="J224" s="66"/>
      <c r="K224" s="66"/>
      <c r="L224" s="229"/>
      <c r="M224" s="66"/>
      <c r="N224" s="230"/>
      <c r="O224" s="230"/>
      <c r="P224" s="66"/>
      <c r="Q224" s="171">
        <f>+P225</f>
        <v>7000000</v>
      </c>
      <c r="R224" s="171">
        <v>0</v>
      </c>
      <c r="S224" s="171">
        <f>Q224-R224</f>
        <v>7000000</v>
      </c>
      <c r="T224" s="172">
        <v>1</v>
      </c>
    </row>
    <row r="225" spans="1:23" ht="15" customHeight="1">
      <c r="A225" s="224"/>
      <c r="B225" s="225"/>
      <c r="C225" s="226"/>
      <c r="D225" s="225"/>
      <c r="E225" s="226"/>
      <c r="F225" s="231" t="s">
        <v>2087</v>
      </c>
      <c r="G225" s="249"/>
      <c r="H225" s="240"/>
      <c r="I225" s="240"/>
      <c r="J225" s="240"/>
      <c r="K225" s="240"/>
      <c r="L225" s="250"/>
      <c r="M225" s="240"/>
      <c r="N225" s="244"/>
      <c r="O225" s="244"/>
      <c r="P225" s="1061">
        <f>SUM(P226:P227)</f>
        <v>7000000</v>
      </c>
      <c r="Q225" s="235"/>
      <c r="R225" s="997"/>
      <c r="S225" s="235"/>
      <c r="T225" s="246"/>
      <c r="W225" s="275"/>
    </row>
    <row r="226" spans="1:23" ht="15" customHeight="1">
      <c r="A226" s="224"/>
      <c r="B226" s="225"/>
      <c r="C226" s="226"/>
      <c r="D226" s="225"/>
      <c r="E226" s="237"/>
      <c r="F226" s="238" t="s">
        <v>2088</v>
      </c>
      <c r="G226" s="252">
        <v>400000</v>
      </c>
      <c r="H226" s="240" t="s">
        <v>1921</v>
      </c>
      <c r="I226" s="242">
        <v>10</v>
      </c>
      <c r="J226" s="240"/>
      <c r="K226" s="242"/>
      <c r="L226" s="243"/>
      <c r="M226" s="242"/>
      <c r="N226" s="244"/>
      <c r="O226" s="244" t="s">
        <v>1882</v>
      </c>
      <c r="P226" s="245">
        <f>ROUNDUP(G226*I226,-3)</f>
        <v>4000000</v>
      </c>
      <c r="Q226" s="235"/>
      <c r="R226" s="997"/>
      <c r="S226" s="235"/>
      <c r="T226" s="246"/>
    </row>
    <row r="227" spans="1:23" ht="15" customHeight="1">
      <c r="A227" s="576"/>
      <c r="B227" s="278"/>
      <c r="C227" s="279"/>
      <c r="D227" s="278"/>
      <c r="E227" s="577"/>
      <c r="F227" s="578" t="s">
        <v>2089</v>
      </c>
      <c r="G227" s="282">
        <v>150000</v>
      </c>
      <c r="H227" s="283" t="s">
        <v>1921</v>
      </c>
      <c r="I227" s="1616">
        <v>2</v>
      </c>
      <c r="J227" s="283" t="s">
        <v>1880</v>
      </c>
      <c r="K227" s="284">
        <v>10</v>
      </c>
      <c r="L227" s="1402"/>
      <c r="M227" s="284"/>
      <c r="N227" s="285"/>
      <c r="O227" s="285" t="s">
        <v>1897</v>
      </c>
      <c r="P227" s="286">
        <f>ROUNDUP(G227*I227*K227,-3)</f>
        <v>3000000</v>
      </c>
      <c r="Q227" s="287"/>
      <c r="R227" s="1027"/>
      <c r="S227" s="287"/>
      <c r="T227" s="288"/>
    </row>
    <row r="228" spans="1:23" ht="15" customHeight="1">
      <c r="A228" s="224"/>
      <c r="B228" s="225"/>
      <c r="C228" s="226"/>
      <c r="D228" s="225"/>
      <c r="E228" s="363" t="s">
        <v>451</v>
      </c>
      <c r="F228" s="364"/>
      <c r="G228" s="365"/>
      <c r="H228" s="363"/>
      <c r="I228" s="363"/>
      <c r="J228" s="363"/>
      <c r="K228" s="363"/>
      <c r="L228" s="366"/>
      <c r="M228" s="363"/>
      <c r="N228" s="367"/>
      <c r="O228" s="367"/>
      <c r="P228" s="363"/>
      <c r="Q228" s="188">
        <f>P230+P233</f>
        <v>2880000</v>
      </c>
      <c r="R228" s="188">
        <v>0</v>
      </c>
      <c r="S228" s="188">
        <f>Q228-R228</f>
        <v>2880000</v>
      </c>
      <c r="T228" s="570">
        <v>1</v>
      </c>
      <c r="W228" s="275"/>
    </row>
    <row r="229" spans="1:23" ht="15" customHeight="1">
      <c r="A229" s="224"/>
      <c r="B229" s="225"/>
      <c r="C229" s="226"/>
      <c r="D229" s="225"/>
      <c r="E229" s="226"/>
      <c r="F229" s="96" t="s">
        <v>2090</v>
      </c>
      <c r="G229" s="123"/>
      <c r="H229" s="106"/>
      <c r="I229" s="106"/>
      <c r="J229" s="106"/>
      <c r="K229" s="106"/>
      <c r="L229" s="124"/>
      <c r="M229" s="106"/>
      <c r="N229" s="110"/>
      <c r="O229" s="110"/>
      <c r="P229" s="938"/>
      <c r="Q229" s="235"/>
      <c r="R229" s="997"/>
      <c r="S229" s="235"/>
      <c r="T229" s="246"/>
    </row>
    <row r="230" spans="1:23" ht="15" customHeight="1">
      <c r="A230" s="224"/>
      <c r="B230" s="225"/>
      <c r="C230" s="226"/>
      <c r="D230" s="225"/>
      <c r="E230" s="237"/>
      <c r="F230" s="126" t="s">
        <v>2091</v>
      </c>
      <c r="G230" s="121"/>
      <c r="H230" s="106"/>
      <c r="I230" s="108"/>
      <c r="J230" s="106"/>
      <c r="K230" s="108"/>
      <c r="L230" s="109"/>
      <c r="M230" s="108"/>
      <c r="N230" s="110"/>
      <c r="O230" s="110"/>
      <c r="P230" s="938">
        <f>SUM(P231:P232)</f>
        <v>2000000</v>
      </c>
      <c r="Q230" s="235"/>
      <c r="R230" s="997"/>
      <c r="S230" s="235"/>
      <c r="T230" s="246"/>
    </row>
    <row r="231" spans="1:23" ht="15" customHeight="1">
      <c r="A231" s="224"/>
      <c r="B231" s="225"/>
      <c r="C231" s="226"/>
      <c r="D231" s="225"/>
      <c r="E231" s="237"/>
      <c r="F231" s="1514" t="s">
        <v>454</v>
      </c>
      <c r="G231" s="1512">
        <v>100000</v>
      </c>
      <c r="H231" s="106" t="s">
        <v>282</v>
      </c>
      <c r="I231" s="1515">
        <v>1</v>
      </c>
      <c r="J231" s="115" t="s">
        <v>1880</v>
      </c>
      <c r="K231" s="1516">
        <v>10</v>
      </c>
      <c r="L231" s="1517"/>
      <c r="M231" s="1516"/>
      <c r="N231" s="117"/>
      <c r="O231" s="117" t="s">
        <v>1922</v>
      </c>
      <c r="P231" s="1518">
        <f>G231*I231*K231</f>
        <v>1000000</v>
      </c>
      <c r="Q231" s="235"/>
      <c r="R231" s="997"/>
      <c r="S231" s="235"/>
      <c r="T231" s="246"/>
    </row>
    <row r="232" spans="1:23" ht="15" customHeight="1">
      <c r="A232" s="224"/>
      <c r="B232" s="225"/>
      <c r="C232" s="226"/>
      <c r="D232" s="225"/>
      <c r="E232" s="237"/>
      <c r="F232" s="1514" t="s">
        <v>2092</v>
      </c>
      <c r="G232" s="1512">
        <v>100000</v>
      </c>
      <c r="H232" s="106" t="s">
        <v>1880</v>
      </c>
      <c r="I232" s="1515">
        <v>1</v>
      </c>
      <c r="J232" s="115" t="s">
        <v>1880</v>
      </c>
      <c r="K232" s="1516">
        <v>10</v>
      </c>
      <c r="L232" s="1517"/>
      <c r="M232" s="1516"/>
      <c r="N232" s="117"/>
      <c r="O232" s="117" t="s">
        <v>1897</v>
      </c>
      <c r="P232" s="1518">
        <f>G232*I232*K232</f>
        <v>1000000</v>
      </c>
      <c r="Q232" s="235"/>
      <c r="R232" s="997"/>
      <c r="S232" s="235"/>
      <c r="T232" s="246"/>
    </row>
    <row r="233" spans="1:23" ht="15" customHeight="1">
      <c r="A233" s="224"/>
      <c r="B233" s="225"/>
      <c r="C233" s="226"/>
      <c r="D233" s="225"/>
      <c r="E233" s="237"/>
      <c r="F233" s="126" t="s">
        <v>2093</v>
      </c>
      <c r="G233" s="123">
        <v>80000</v>
      </c>
      <c r="H233" s="106" t="s">
        <v>1880</v>
      </c>
      <c r="I233" s="107">
        <v>11</v>
      </c>
      <c r="J233" s="106"/>
      <c r="K233" s="108"/>
      <c r="L233" s="109"/>
      <c r="M233" s="108"/>
      <c r="N233" s="110"/>
      <c r="O233" s="110" t="s">
        <v>281</v>
      </c>
      <c r="P233" s="111">
        <f>ROUNDUP(G233*I233,-3)</f>
        <v>880000</v>
      </c>
      <c r="Q233" s="235"/>
      <c r="R233" s="997"/>
      <c r="S233" s="235"/>
      <c r="T233" s="246"/>
    </row>
    <row r="234" spans="1:23" ht="15" customHeight="1">
      <c r="A234" s="224"/>
      <c r="B234" s="225"/>
      <c r="C234" s="226"/>
      <c r="D234" s="225"/>
      <c r="E234" s="66" t="s">
        <v>2094</v>
      </c>
      <c r="F234" s="227"/>
      <c r="G234" s="228"/>
      <c r="H234" s="66"/>
      <c r="I234" s="66"/>
      <c r="J234" s="66"/>
      <c r="K234" s="66"/>
      <c r="L234" s="229"/>
      <c r="M234" s="66"/>
      <c r="N234" s="230"/>
      <c r="O234" s="230"/>
      <c r="P234" s="66"/>
      <c r="Q234" s="171">
        <f>SUM(P235,P237)</f>
        <v>4300000</v>
      </c>
      <c r="R234" s="171">
        <v>0</v>
      </c>
      <c r="S234" s="171">
        <f>Q234-R234</f>
        <v>4300000</v>
      </c>
      <c r="T234" s="172">
        <v>1</v>
      </c>
    </row>
    <row r="235" spans="1:23" ht="15" customHeight="1">
      <c r="A235" s="224"/>
      <c r="B235" s="225"/>
      <c r="C235" s="226"/>
      <c r="D235" s="225"/>
      <c r="E235" s="226"/>
      <c r="F235" s="96" t="s">
        <v>2095</v>
      </c>
      <c r="G235" s="123"/>
      <c r="H235" s="106"/>
      <c r="I235" s="106"/>
      <c r="J235" s="106"/>
      <c r="K235" s="106"/>
      <c r="L235" s="124"/>
      <c r="M235" s="106"/>
      <c r="N235" s="110"/>
      <c r="O235" s="110"/>
      <c r="P235" s="938">
        <f>SUM(P236:P236)</f>
        <v>3300000</v>
      </c>
      <c r="Q235" s="235"/>
      <c r="R235" s="997"/>
      <c r="S235" s="235"/>
      <c r="T235" s="246"/>
    </row>
    <row r="236" spans="1:23" ht="15" customHeight="1">
      <c r="A236" s="224"/>
      <c r="B236" s="225"/>
      <c r="C236" s="226"/>
      <c r="D236" s="225"/>
      <c r="E236" s="237"/>
      <c r="F236" s="126" t="s">
        <v>2096</v>
      </c>
      <c r="G236" s="121">
        <v>300000</v>
      </c>
      <c r="H236" s="106" t="s">
        <v>1880</v>
      </c>
      <c r="I236" s="107">
        <v>11</v>
      </c>
      <c r="J236" s="106"/>
      <c r="K236" s="108"/>
      <c r="L236" s="109"/>
      <c r="M236" s="108"/>
      <c r="N236" s="110"/>
      <c r="O236" s="110" t="s">
        <v>1922</v>
      </c>
      <c r="P236" s="111">
        <f>ROUNDUP(G236*I236,-3)</f>
        <v>3300000</v>
      </c>
      <c r="Q236" s="235"/>
      <c r="R236" s="997"/>
      <c r="S236" s="235"/>
      <c r="T236" s="246"/>
    </row>
    <row r="237" spans="1:23" ht="15" customHeight="1">
      <c r="A237" s="224"/>
      <c r="B237" s="225"/>
      <c r="C237" s="226"/>
      <c r="D237" s="225"/>
      <c r="E237" s="226"/>
      <c r="F237" s="96" t="s">
        <v>2097</v>
      </c>
      <c r="G237" s="123"/>
      <c r="H237" s="106"/>
      <c r="I237" s="106"/>
      <c r="J237" s="106"/>
      <c r="K237" s="106"/>
      <c r="L237" s="124"/>
      <c r="M237" s="106"/>
      <c r="N237" s="110"/>
      <c r="O237" s="110"/>
      <c r="P237" s="938">
        <f>SUM(P238:P238)</f>
        <v>1000000</v>
      </c>
      <c r="Q237" s="235"/>
      <c r="R237" s="997"/>
      <c r="S237" s="235"/>
      <c r="T237" s="246"/>
    </row>
    <row r="238" spans="1:23" ht="15" customHeight="1">
      <c r="A238" s="224"/>
      <c r="B238" s="225"/>
      <c r="C238" s="226"/>
      <c r="D238" s="225"/>
      <c r="E238" s="237"/>
      <c r="F238" s="126" t="s">
        <v>2098</v>
      </c>
      <c r="G238" s="121">
        <v>500000</v>
      </c>
      <c r="H238" s="106" t="s">
        <v>1921</v>
      </c>
      <c r="I238" s="142">
        <v>2</v>
      </c>
      <c r="J238" s="106"/>
      <c r="K238" s="108"/>
      <c r="L238" s="109"/>
      <c r="M238" s="108"/>
      <c r="N238" s="110"/>
      <c r="O238" s="110" t="s">
        <v>281</v>
      </c>
      <c r="P238" s="111">
        <f>ROUNDUP(G238*I238,-3)</f>
        <v>1000000</v>
      </c>
      <c r="Q238" s="235"/>
      <c r="R238" s="997"/>
      <c r="S238" s="235"/>
      <c r="T238" s="246"/>
      <c r="W238" s="275"/>
    </row>
    <row r="239" spans="1:23" ht="15" customHeight="1">
      <c r="A239" s="224"/>
      <c r="B239" s="225"/>
      <c r="C239" s="226"/>
      <c r="D239" s="225"/>
      <c r="E239" s="66" t="s">
        <v>76</v>
      </c>
      <c r="F239" s="227"/>
      <c r="G239" s="228"/>
      <c r="H239" s="66"/>
      <c r="I239" s="66"/>
      <c r="J239" s="66"/>
      <c r="K239" s="66"/>
      <c r="L239" s="229"/>
      <c r="M239" s="66"/>
      <c r="N239" s="230"/>
      <c r="O239" s="230"/>
      <c r="P239" s="66"/>
      <c r="Q239" s="171">
        <f>+P240</f>
        <v>18200000</v>
      </c>
      <c r="R239" s="171">
        <v>0</v>
      </c>
      <c r="S239" s="171">
        <f>Q239-R239</f>
        <v>18200000</v>
      </c>
      <c r="T239" s="172">
        <v>1</v>
      </c>
    </row>
    <row r="240" spans="1:23" ht="15" customHeight="1">
      <c r="A240" s="224"/>
      <c r="B240" s="225"/>
      <c r="C240" s="226"/>
      <c r="D240" s="225"/>
      <c r="E240" s="226"/>
      <c r="F240" s="231" t="s">
        <v>695</v>
      </c>
      <c r="G240" s="249"/>
      <c r="H240" s="240"/>
      <c r="I240" s="240"/>
      <c r="J240" s="240"/>
      <c r="K240" s="240"/>
      <c r="L240" s="250"/>
      <c r="M240" s="240"/>
      <c r="N240" s="244"/>
      <c r="O240" s="244"/>
      <c r="P240" s="1061">
        <f>SUM(P241:P244)</f>
        <v>18200000</v>
      </c>
      <c r="Q240" s="235"/>
      <c r="R240" s="997"/>
      <c r="S240" s="235"/>
      <c r="T240" s="246"/>
    </row>
    <row r="241" spans="1:23" ht="15" customHeight="1">
      <c r="A241" s="224"/>
      <c r="B241" s="225"/>
      <c r="C241" s="226"/>
      <c r="D241" s="225"/>
      <c r="E241" s="237"/>
      <c r="F241" s="248" t="s">
        <v>2099</v>
      </c>
      <c r="G241" s="252">
        <v>300000</v>
      </c>
      <c r="H241" s="240" t="s">
        <v>1921</v>
      </c>
      <c r="I241" s="1552">
        <v>10</v>
      </c>
      <c r="J241" s="240"/>
      <c r="K241" s="242"/>
      <c r="L241" s="243"/>
      <c r="M241" s="242"/>
      <c r="N241" s="244"/>
      <c r="O241" s="244" t="s">
        <v>281</v>
      </c>
      <c r="P241" s="245">
        <f>ROUNDUP(G241*I241,-3)</f>
        <v>3000000</v>
      </c>
      <c r="Q241" s="235"/>
      <c r="R241" s="997"/>
      <c r="S241" s="235"/>
      <c r="T241" s="246"/>
      <c r="W241" s="275"/>
    </row>
    <row r="242" spans="1:23" ht="15" customHeight="1">
      <c r="A242" s="224"/>
      <c r="B242" s="225"/>
      <c r="C242" s="226"/>
      <c r="D242" s="225"/>
      <c r="E242" s="247"/>
      <c r="F242" s="248" t="s">
        <v>2100</v>
      </c>
      <c r="G242" s="249">
        <v>40000</v>
      </c>
      <c r="H242" s="240" t="s">
        <v>282</v>
      </c>
      <c r="I242" s="1552">
        <v>5</v>
      </c>
      <c r="J242" s="240"/>
      <c r="K242" s="242"/>
      <c r="L242" s="243"/>
      <c r="M242" s="242"/>
      <c r="N242" s="244"/>
      <c r="O242" s="244" t="s">
        <v>1882</v>
      </c>
      <c r="P242" s="245">
        <f>ROUNDUP(G242*I242,-3)</f>
        <v>200000</v>
      </c>
      <c r="Q242" s="235"/>
      <c r="R242" s="997"/>
      <c r="S242" s="235"/>
      <c r="T242" s="246"/>
    </row>
    <row r="243" spans="1:23" ht="15" customHeight="1">
      <c r="A243" s="224"/>
      <c r="B243" s="225"/>
      <c r="C243" s="226"/>
      <c r="D243" s="225"/>
      <c r="E243" s="247"/>
      <c r="F243" s="248" t="s">
        <v>2101</v>
      </c>
      <c r="G243" s="249">
        <v>1500000</v>
      </c>
      <c r="H243" s="240" t="s">
        <v>1880</v>
      </c>
      <c r="I243" s="1644">
        <v>10</v>
      </c>
      <c r="J243" s="240"/>
      <c r="K243" s="242"/>
      <c r="L243" s="243"/>
      <c r="M243" s="242"/>
      <c r="N243" s="244"/>
      <c r="O243" s="244" t="s">
        <v>1897</v>
      </c>
      <c r="P243" s="245">
        <v>15000000</v>
      </c>
      <c r="Q243" s="235"/>
      <c r="R243" s="997"/>
      <c r="S243" s="235"/>
      <c r="T243" s="246"/>
    </row>
    <row r="244" spans="1:23" ht="15" customHeight="1">
      <c r="A244" s="224"/>
      <c r="B244" s="225"/>
      <c r="C244" s="226"/>
      <c r="D244" s="225"/>
      <c r="E244" s="66" t="s">
        <v>2102</v>
      </c>
      <c r="F244" s="227"/>
      <c r="G244" s="228"/>
      <c r="H244" s="66"/>
      <c r="I244" s="66"/>
      <c r="J244" s="66"/>
      <c r="K244" s="66"/>
      <c r="L244" s="229"/>
      <c r="M244" s="66"/>
      <c r="N244" s="230"/>
      <c r="O244" s="230"/>
      <c r="P244" s="66"/>
      <c r="Q244" s="171">
        <f>P245</f>
        <v>210000000</v>
      </c>
      <c r="R244" s="171">
        <v>0</v>
      </c>
      <c r="S244" s="171">
        <f>Q244-R244</f>
        <v>210000000</v>
      </c>
      <c r="T244" s="172">
        <v>1</v>
      </c>
      <c r="V244" s="236">
        <f>Q244+Q253+Q259+Q269</f>
        <v>413766000</v>
      </c>
      <c r="W244" s="236">
        <f>R244+R253+R259+R269</f>
        <v>0</v>
      </c>
    </row>
    <row r="245" spans="1:23" ht="15" customHeight="1">
      <c r="A245" s="224"/>
      <c r="B245" s="225"/>
      <c r="C245" s="226"/>
      <c r="D245" s="225"/>
      <c r="E245" s="226"/>
      <c r="F245" s="231" t="s">
        <v>2103</v>
      </c>
      <c r="G245" s="232"/>
      <c r="H245" s="226"/>
      <c r="I245" s="226"/>
      <c r="J245" s="226"/>
      <c r="K245" s="226"/>
      <c r="L245" s="1386"/>
      <c r="M245" s="226"/>
      <c r="N245" s="233"/>
      <c r="O245" s="233"/>
      <c r="P245" s="1580">
        <f>SUM(P246:P252)</f>
        <v>210000000</v>
      </c>
      <c r="Q245" s="235"/>
      <c r="R245" s="997"/>
      <c r="S245" s="235"/>
      <c r="T245" s="246"/>
      <c r="W245" s="275"/>
    </row>
    <row r="246" spans="1:23" ht="15" customHeight="1">
      <c r="A246" s="224"/>
      <c r="B246" s="225"/>
      <c r="C246" s="226"/>
      <c r="D246" s="225"/>
      <c r="E246" s="237"/>
      <c r="F246" s="231" t="s">
        <v>2104</v>
      </c>
      <c r="G246" s="1567">
        <v>18000000</v>
      </c>
      <c r="H246" s="226" t="s">
        <v>1880</v>
      </c>
      <c r="I246" s="1568">
        <v>10</v>
      </c>
      <c r="J246" s="226"/>
      <c r="K246" s="1568"/>
      <c r="L246" s="1569"/>
      <c r="M246" s="1568"/>
      <c r="N246" s="233"/>
      <c r="O246" s="233" t="s">
        <v>281</v>
      </c>
      <c r="P246" s="1570">
        <f t="shared" ref="P246:P252" si="4">ROUNDUP(G246*I246,-3)</f>
        <v>180000000</v>
      </c>
      <c r="Q246" s="235"/>
      <c r="R246" s="997"/>
      <c r="S246" s="235"/>
      <c r="T246" s="246"/>
      <c r="V246" s="236"/>
    </row>
    <row r="247" spans="1:23" ht="15" customHeight="1">
      <c r="A247" s="224"/>
      <c r="B247" s="225"/>
      <c r="C247" s="226"/>
      <c r="D247" s="225"/>
      <c r="E247" s="237"/>
      <c r="F247" s="231" t="s">
        <v>2105</v>
      </c>
      <c r="G247" s="1567">
        <v>3000000</v>
      </c>
      <c r="H247" s="226" t="s">
        <v>1881</v>
      </c>
      <c r="I247" s="1617">
        <v>1</v>
      </c>
      <c r="J247" s="226"/>
      <c r="K247" s="1568"/>
      <c r="L247" s="1569"/>
      <c r="M247" s="1568"/>
      <c r="N247" s="233"/>
      <c r="O247" s="233" t="s">
        <v>281</v>
      </c>
      <c r="P247" s="1570">
        <f t="shared" si="4"/>
        <v>3000000</v>
      </c>
      <c r="Q247" s="235"/>
      <c r="R247" s="997"/>
      <c r="S247" s="235"/>
      <c r="T247" s="246"/>
    </row>
    <row r="248" spans="1:23" ht="15" customHeight="1">
      <c r="A248" s="224"/>
      <c r="B248" s="225"/>
      <c r="C248" s="226"/>
      <c r="D248" s="225"/>
      <c r="E248" s="237"/>
      <c r="F248" s="231" t="s">
        <v>2106</v>
      </c>
      <c r="G248" s="1567">
        <v>1000000</v>
      </c>
      <c r="H248" s="226" t="s">
        <v>282</v>
      </c>
      <c r="I248" s="1617">
        <v>2</v>
      </c>
      <c r="J248" s="226"/>
      <c r="K248" s="1568"/>
      <c r="L248" s="1569"/>
      <c r="M248" s="1568"/>
      <c r="N248" s="233"/>
      <c r="O248" s="233" t="s">
        <v>281</v>
      </c>
      <c r="P248" s="1570">
        <f t="shared" si="4"/>
        <v>2000000</v>
      </c>
      <c r="Q248" s="235"/>
      <c r="R248" s="997"/>
      <c r="S248" s="235"/>
      <c r="T248" s="246"/>
    </row>
    <row r="249" spans="1:23" ht="15" customHeight="1">
      <c r="A249" s="224"/>
      <c r="B249" s="225"/>
      <c r="C249" s="226"/>
      <c r="D249" s="225"/>
      <c r="E249" s="237"/>
      <c r="F249" s="231" t="s">
        <v>2107</v>
      </c>
      <c r="G249" s="1567">
        <v>400000</v>
      </c>
      <c r="H249" s="226" t="s">
        <v>1880</v>
      </c>
      <c r="I249" s="1568">
        <v>10</v>
      </c>
      <c r="J249" s="226"/>
      <c r="K249" s="1568"/>
      <c r="L249" s="1569"/>
      <c r="M249" s="1568"/>
      <c r="N249" s="233"/>
      <c r="O249" s="233" t="s">
        <v>281</v>
      </c>
      <c r="P249" s="1570">
        <f t="shared" si="4"/>
        <v>4000000</v>
      </c>
      <c r="Q249" s="235"/>
      <c r="R249" s="997"/>
      <c r="S249" s="235"/>
      <c r="T249" s="246"/>
    </row>
    <row r="250" spans="1:23" ht="15" customHeight="1">
      <c r="A250" s="224"/>
      <c r="B250" s="225"/>
      <c r="C250" s="226"/>
      <c r="D250" s="225"/>
      <c r="E250" s="237"/>
      <c r="F250" s="231" t="s">
        <v>2108</v>
      </c>
      <c r="G250" s="1567">
        <v>300000</v>
      </c>
      <c r="H250" s="226" t="s">
        <v>1881</v>
      </c>
      <c r="I250" s="1568">
        <v>10</v>
      </c>
      <c r="J250" s="226"/>
      <c r="K250" s="1568"/>
      <c r="L250" s="1569"/>
      <c r="M250" s="1568"/>
      <c r="N250" s="233"/>
      <c r="O250" s="233" t="s">
        <v>1897</v>
      </c>
      <c r="P250" s="1570">
        <f t="shared" si="4"/>
        <v>3000000</v>
      </c>
      <c r="Q250" s="235"/>
      <c r="R250" s="997"/>
      <c r="S250" s="235"/>
      <c r="T250" s="246"/>
    </row>
    <row r="251" spans="1:23" ht="15" customHeight="1">
      <c r="A251" s="224"/>
      <c r="B251" s="225"/>
      <c r="C251" s="226"/>
      <c r="D251" s="225"/>
      <c r="E251" s="237"/>
      <c r="F251" s="231" t="s">
        <v>2109</v>
      </c>
      <c r="G251" s="1567">
        <v>400000000</v>
      </c>
      <c r="H251" s="226" t="s">
        <v>282</v>
      </c>
      <c r="I251" s="1618">
        <v>0.03</v>
      </c>
      <c r="J251" s="226"/>
      <c r="K251" s="1568"/>
      <c r="L251" s="1569"/>
      <c r="M251" s="1568"/>
      <c r="N251" s="233"/>
      <c r="O251" s="233" t="s">
        <v>281</v>
      </c>
      <c r="P251" s="1570">
        <f t="shared" si="4"/>
        <v>12000000</v>
      </c>
      <c r="Q251" s="235"/>
      <c r="R251" s="997"/>
      <c r="S251" s="235"/>
      <c r="T251" s="246"/>
    </row>
    <row r="252" spans="1:23" ht="15" customHeight="1">
      <c r="A252" s="224"/>
      <c r="B252" s="225"/>
      <c r="C252" s="226"/>
      <c r="D252" s="225"/>
      <c r="E252" s="237"/>
      <c r="F252" s="231" t="s">
        <v>2110</v>
      </c>
      <c r="G252" s="1567">
        <v>600000</v>
      </c>
      <c r="H252" s="226" t="s">
        <v>1880</v>
      </c>
      <c r="I252" s="1568">
        <v>10</v>
      </c>
      <c r="J252" s="226"/>
      <c r="K252" s="1568"/>
      <c r="L252" s="1569"/>
      <c r="M252" s="1568"/>
      <c r="N252" s="233"/>
      <c r="O252" s="233" t="s">
        <v>1897</v>
      </c>
      <c r="P252" s="1570">
        <f t="shared" si="4"/>
        <v>6000000</v>
      </c>
      <c r="Q252" s="235"/>
      <c r="R252" s="997"/>
      <c r="S252" s="235"/>
      <c r="T252" s="246"/>
      <c r="W252" s="1062"/>
    </row>
    <row r="253" spans="1:23" ht="15" customHeight="1">
      <c r="A253" s="224"/>
      <c r="B253" s="225"/>
      <c r="C253" s="226"/>
      <c r="D253" s="225"/>
      <c r="E253" s="66" t="s">
        <v>779</v>
      </c>
      <c r="F253" s="227"/>
      <c r="G253" s="228"/>
      <c r="H253" s="66"/>
      <c r="I253" s="66"/>
      <c r="J253" s="66"/>
      <c r="K253" s="66"/>
      <c r="L253" s="229"/>
      <c r="M253" s="66"/>
      <c r="N253" s="230"/>
      <c r="O253" s="230"/>
      <c r="P253" s="66"/>
      <c r="Q253" s="171">
        <f>P254</f>
        <v>27000000</v>
      </c>
      <c r="R253" s="171">
        <v>0</v>
      </c>
      <c r="S253" s="171">
        <f>Q253-R253</f>
        <v>27000000</v>
      </c>
      <c r="T253" s="172">
        <v>1</v>
      </c>
    </row>
    <row r="254" spans="1:23" ht="15" customHeight="1">
      <c r="A254" s="224"/>
      <c r="B254" s="225"/>
      <c r="C254" s="226"/>
      <c r="D254" s="225"/>
      <c r="E254" s="226"/>
      <c r="F254" s="231" t="s">
        <v>2111</v>
      </c>
      <c r="G254" s="232"/>
      <c r="H254" s="226"/>
      <c r="I254" s="226"/>
      <c r="J254" s="226"/>
      <c r="K254" s="226"/>
      <c r="L254" s="1386"/>
      <c r="M254" s="226"/>
      <c r="N254" s="233"/>
      <c r="O254" s="233"/>
      <c r="P254" s="1580">
        <f>SUM(P255:P258)</f>
        <v>27000000</v>
      </c>
      <c r="Q254" s="235"/>
      <c r="R254" s="997"/>
      <c r="S254" s="235"/>
      <c r="T254" s="246"/>
    </row>
    <row r="255" spans="1:23" ht="15" customHeight="1">
      <c r="A255" s="224"/>
      <c r="B255" s="225"/>
      <c r="C255" s="226"/>
      <c r="D255" s="225"/>
      <c r="E255" s="237"/>
      <c r="F255" s="231" t="s">
        <v>780</v>
      </c>
      <c r="G255" s="1567">
        <v>2000000</v>
      </c>
      <c r="H255" s="226" t="s">
        <v>1880</v>
      </c>
      <c r="I255" s="1568">
        <v>10</v>
      </c>
      <c r="J255" s="226"/>
      <c r="K255" s="1568"/>
      <c r="L255" s="1569"/>
      <c r="M255" s="1568"/>
      <c r="N255" s="233"/>
      <c r="O255" s="233" t="s">
        <v>1882</v>
      </c>
      <c r="P255" s="1570">
        <f>ROUNDUP(G255*I255,-3)</f>
        <v>20000000</v>
      </c>
      <c r="Q255" s="235"/>
      <c r="R255" s="997"/>
      <c r="S255" s="235"/>
      <c r="T255" s="246"/>
    </row>
    <row r="256" spans="1:23" ht="15" customHeight="1">
      <c r="A256" s="224"/>
      <c r="B256" s="225"/>
      <c r="C256" s="226"/>
      <c r="D256" s="225"/>
      <c r="E256" s="237"/>
      <c r="F256" s="231" t="s">
        <v>781</v>
      </c>
      <c r="G256" s="1567">
        <v>400000</v>
      </c>
      <c r="H256" s="226" t="s">
        <v>1880</v>
      </c>
      <c r="I256" s="1568">
        <v>10</v>
      </c>
      <c r="J256" s="226"/>
      <c r="K256" s="1568"/>
      <c r="L256" s="1569"/>
      <c r="M256" s="1568"/>
      <c r="N256" s="233"/>
      <c r="O256" s="233" t="s">
        <v>281</v>
      </c>
      <c r="P256" s="1570">
        <f>ROUNDUP(G256*I256,-3)</f>
        <v>4000000</v>
      </c>
      <c r="Q256" s="235"/>
      <c r="R256" s="997"/>
      <c r="S256" s="235"/>
      <c r="T256" s="246"/>
      <c r="W256" s="275"/>
    </row>
    <row r="257" spans="1:25" ht="15" customHeight="1">
      <c r="A257" s="224"/>
      <c r="B257" s="225"/>
      <c r="C257" s="226"/>
      <c r="D257" s="225"/>
      <c r="E257" s="237"/>
      <c r="F257" s="231" t="s">
        <v>2112</v>
      </c>
      <c r="G257" s="1567">
        <v>200000</v>
      </c>
      <c r="H257" s="226" t="s">
        <v>1881</v>
      </c>
      <c r="I257" s="1568">
        <v>6</v>
      </c>
      <c r="J257" s="226"/>
      <c r="K257" s="1568"/>
      <c r="L257" s="1569"/>
      <c r="M257" s="1568"/>
      <c r="N257" s="233"/>
      <c r="O257" s="233" t="s">
        <v>1882</v>
      </c>
      <c r="P257" s="1570">
        <f>ROUNDUP(G257*I257,-3)</f>
        <v>1200000</v>
      </c>
      <c r="Q257" s="235"/>
      <c r="R257" s="997"/>
      <c r="S257" s="235"/>
      <c r="T257" s="246"/>
    </row>
    <row r="258" spans="1:25" ht="15" customHeight="1">
      <c r="A258" s="224"/>
      <c r="B258" s="225"/>
      <c r="C258" s="226"/>
      <c r="D258" s="225"/>
      <c r="E258" s="237"/>
      <c r="F258" s="231" t="s">
        <v>2113</v>
      </c>
      <c r="G258" s="1567">
        <v>900000</v>
      </c>
      <c r="H258" s="226" t="s">
        <v>1881</v>
      </c>
      <c r="I258" s="1568">
        <v>2</v>
      </c>
      <c r="J258" s="226"/>
      <c r="K258" s="1568"/>
      <c r="L258" s="1569"/>
      <c r="M258" s="1568"/>
      <c r="N258" s="233"/>
      <c r="O258" s="233" t="s">
        <v>1897</v>
      </c>
      <c r="P258" s="1570">
        <f>ROUNDUP(G258*I258,-3)</f>
        <v>1800000</v>
      </c>
      <c r="Q258" s="235"/>
      <c r="R258" s="997"/>
      <c r="S258" s="235"/>
      <c r="T258" s="246"/>
    </row>
    <row r="259" spans="1:25" ht="15" customHeight="1">
      <c r="A259" s="224"/>
      <c r="B259" s="225"/>
      <c r="C259" s="226"/>
      <c r="D259" s="225"/>
      <c r="E259" s="66" t="s">
        <v>2114</v>
      </c>
      <c r="F259" s="227"/>
      <c r="G259" s="228"/>
      <c r="H259" s="66"/>
      <c r="I259" s="66"/>
      <c r="J259" s="66"/>
      <c r="K259" s="66"/>
      <c r="L259" s="229"/>
      <c r="M259" s="66"/>
      <c r="N259" s="230"/>
      <c r="O259" s="230"/>
      <c r="P259" s="66"/>
      <c r="Q259" s="171">
        <f>P260+P263+P267</f>
        <v>140000000</v>
      </c>
      <c r="R259" s="171">
        <v>0</v>
      </c>
      <c r="S259" s="171">
        <f>Q259-R259</f>
        <v>140000000</v>
      </c>
      <c r="T259" s="172">
        <v>1</v>
      </c>
    </row>
    <row r="260" spans="1:25" s="915" customFormat="1" ht="15" customHeight="1">
      <c r="A260" s="78"/>
      <c r="B260" s="81"/>
      <c r="C260" s="82"/>
      <c r="D260" s="81"/>
      <c r="E260" s="90"/>
      <c r="F260" s="96" t="s">
        <v>463</v>
      </c>
      <c r="G260" s="97"/>
      <c r="H260" s="90"/>
      <c r="I260" s="1619"/>
      <c r="J260" s="90"/>
      <c r="K260" s="90"/>
      <c r="L260" s="98"/>
      <c r="M260" s="90"/>
      <c r="N260" s="99"/>
      <c r="O260" s="99"/>
      <c r="P260" s="1452">
        <f>SUM(P261:P262)</f>
        <v>10000000</v>
      </c>
      <c r="Q260" s="1499"/>
      <c r="R260" s="1500"/>
      <c r="S260" s="1499"/>
      <c r="T260" s="1501"/>
    </row>
    <row r="261" spans="1:25" s="917" customFormat="1" ht="15" customHeight="1">
      <c r="A261" s="88"/>
      <c r="B261" s="89"/>
      <c r="C261" s="90"/>
      <c r="D261" s="89"/>
      <c r="E261" s="90"/>
      <c r="F261" s="104" t="s">
        <v>1036</v>
      </c>
      <c r="G261" s="97">
        <v>5000000</v>
      </c>
      <c r="H261" s="90" t="s">
        <v>282</v>
      </c>
      <c r="I261" s="1595">
        <v>1</v>
      </c>
      <c r="J261" s="90"/>
      <c r="K261" s="90"/>
      <c r="L261" s="98"/>
      <c r="M261" s="90"/>
      <c r="N261" s="99"/>
      <c r="O261" s="99" t="s">
        <v>281</v>
      </c>
      <c r="P261" s="97">
        <f>G261*I261</f>
        <v>5000000</v>
      </c>
      <c r="Q261" s="112"/>
      <c r="R261" s="131"/>
      <c r="S261" s="112"/>
      <c r="T261" s="113"/>
    </row>
    <row r="262" spans="1:25" s="917" customFormat="1" ht="15" customHeight="1">
      <c r="A262" s="88"/>
      <c r="B262" s="89"/>
      <c r="C262" s="90"/>
      <c r="D262" s="89"/>
      <c r="E262" s="90"/>
      <c r="F262" s="104" t="s">
        <v>2766</v>
      </c>
      <c r="G262" s="97">
        <v>500000</v>
      </c>
      <c r="H262" s="90" t="s">
        <v>282</v>
      </c>
      <c r="I262" s="1864">
        <v>10</v>
      </c>
      <c r="J262" s="90"/>
      <c r="K262" s="90"/>
      <c r="L262" s="98"/>
      <c r="M262" s="90"/>
      <c r="N262" s="99"/>
      <c r="O262" s="99" t="s">
        <v>281</v>
      </c>
      <c r="P262" s="97">
        <f>G262*I262</f>
        <v>5000000</v>
      </c>
      <c r="Q262" s="112"/>
      <c r="R262" s="131"/>
      <c r="S262" s="112"/>
      <c r="T262" s="113"/>
    </row>
    <row r="263" spans="1:25" s="915" customFormat="1" ht="15" customHeight="1">
      <c r="A263" s="78"/>
      <c r="B263" s="81"/>
      <c r="C263" s="82"/>
      <c r="D263" s="81"/>
      <c r="E263" s="122"/>
      <c r="F263" s="96" t="s">
        <v>2115</v>
      </c>
      <c r="G263" s="136"/>
      <c r="H263" s="90"/>
      <c r="I263" s="1619"/>
      <c r="J263" s="90"/>
      <c r="K263" s="137"/>
      <c r="L263" s="138"/>
      <c r="M263" s="137"/>
      <c r="N263" s="99"/>
      <c r="O263" s="99"/>
      <c r="P263" s="1452">
        <f>SUM(P264:P266)</f>
        <v>120000000</v>
      </c>
      <c r="Q263" s="1499"/>
      <c r="R263" s="1500"/>
      <c r="S263" s="1499"/>
      <c r="T263" s="1501"/>
    </row>
    <row r="264" spans="1:25" s="917" customFormat="1" ht="15" customHeight="1">
      <c r="A264" s="88"/>
      <c r="B264" s="89"/>
      <c r="C264" s="90"/>
      <c r="D264" s="89"/>
      <c r="E264" s="122"/>
      <c r="F264" s="104" t="s">
        <v>2116</v>
      </c>
      <c r="G264" s="136">
        <v>3700000</v>
      </c>
      <c r="H264" s="90" t="s">
        <v>1880</v>
      </c>
      <c r="I264" s="1620">
        <v>30</v>
      </c>
      <c r="J264" s="90"/>
      <c r="K264" s="137"/>
      <c r="L264" s="138"/>
      <c r="M264" s="137"/>
      <c r="N264" s="99"/>
      <c r="O264" s="99" t="s">
        <v>1882</v>
      </c>
      <c r="P264" s="139">
        <f>G264*I264</f>
        <v>111000000</v>
      </c>
      <c r="Q264" s="112"/>
      <c r="R264" s="131"/>
      <c r="S264" s="112"/>
      <c r="T264" s="113"/>
    </row>
    <row r="265" spans="1:25" s="917" customFormat="1" ht="15" customHeight="1">
      <c r="A265" s="88"/>
      <c r="B265" s="89"/>
      <c r="C265" s="90"/>
      <c r="D265" s="89"/>
      <c r="E265" s="122"/>
      <c r="F265" s="104" t="s">
        <v>2117</v>
      </c>
      <c r="G265" s="136">
        <v>2000000</v>
      </c>
      <c r="H265" s="90" t="s">
        <v>1881</v>
      </c>
      <c r="I265" s="1595">
        <v>1</v>
      </c>
      <c r="J265" s="90"/>
      <c r="K265" s="137"/>
      <c r="L265" s="138"/>
      <c r="M265" s="137"/>
      <c r="N265" s="99"/>
      <c r="O265" s="99" t="s">
        <v>1882</v>
      </c>
      <c r="P265" s="139">
        <f>G265*I265</f>
        <v>2000000</v>
      </c>
      <c r="Q265" s="112"/>
      <c r="R265" s="131"/>
      <c r="S265" s="112"/>
      <c r="T265" s="113"/>
    </row>
    <row r="266" spans="1:25" s="917" customFormat="1" ht="15" customHeight="1">
      <c r="A266" s="561"/>
      <c r="B266" s="562"/>
      <c r="C266" s="563"/>
      <c r="D266" s="562"/>
      <c r="E266" s="571"/>
      <c r="F266" s="1521" t="s">
        <v>2118</v>
      </c>
      <c r="G266" s="1454">
        <v>7000000</v>
      </c>
      <c r="H266" s="563" t="s">
        <v>1881</v>
      </c>
      <c r="I266" s="1621">
        <v>1</v>
      </c>
      <c r="J266" s="563"/>
      <c r="K266" s="1455"/>
      <c r="L266" s="1456"/>
      <c r="M266" s="1455"/>
      <c r="N266" s="1457"/>
      <c r="O266" s="1457" t="s">
        <v>1897</v>
      </c>
      <c r="P266" s="1458">
        <f>G266*I266</f>
        <v>7000000</v>
      </c>
      <c r="Q266" s="167"/>
      <c r="R266" s="168"/>
      <c r="S266" s="167"/>
      <c r="T266" s="169"/>
    </row>
    <row r="267" spans="1:25" s="915" customFormat="1" ht="15" customHeight="1">
      <c r="A267" s="78"/>
      <c r="B267" s="81"/>
      <c r="C267" s="82"/>
      <c r="D267" s="81"/>
      <c r="E267" s="90"/>
      <c r="F267" s="96" t="s">
        <v>2119</v>
      </c>
      <c r="G267" s="97"/>
      <c r="H267" s="90"/>
      <c r="I267" s="90"/>
      <c r="J267" s="90"/>
      <c r="K267" s="90"/>
      <c r="L267" s="98"/>
      <c r="M267" s="90"/>
      <c r="N267" s="99"/>
      <c r="O267" s="99"/>
      <c r="P267" s="1452">
        <f>P268</f>
        <v>10000000</v>
      </c>
      <c r="Q267" s="1499"/>
      <c r="R267" s="1500"/>
      <c r="S267" s="1499"/>
      <c r="T267" s="1501"/>
      <c r="X267" s="1502"/>
    </row>
    <row r="268" spans="1:25" s="917" customFormat="1" ht="15" customHeight="1">
      <c r="A268" s="88"/>
      <c r="B268" s="89"/>
      <c r="C268" s="90"/>
      <c r="D268" s="89"/>
      <c r="E268" s="90"/>
      <c r="F268" s="104" t="s">
        <v>2120</v>
      </c>
      <c r="G268" s="97">
        <v>1000000</v>
      </c>
      <c r="H268" s="90" t="s">
        <v>1880</v>
      </c>
      <c r="I268" s="1595">
        <v>10</v>
      </c>
      <c r="J268" s="90"/>
      <c r="K268" s="90"/>
      <c r="L268" s="98"/>
      <c r="M268" s="90"/>
      <c r="N268" s="99"/>
      <c r="O268" s="99" t="s">
        <v>1897</v>
      </c>
      <c r="P268" s="97">
        <f>G268*I268</f>
        <v>10000000</v>
      </c>
      <c r="Q268" s="112"/>
      <c r="R268" s="131"/>
      <c r="S268" s="112"/>
      <c r="T268" s="113"/>
      <c r="W268" s="944"/>
      <c r="Y268" s="918"/>
    </row>
    <row r="269" spans="1:25" ht="15" customHeight="1">
      <c r="A269" s="224"/>
      <c r="B269" s="225"/>
      <c r="C269" s="226"/>
      <c r="D269" s="225"/>
      <c r="E269" s="66" t="s">
        <v>2121</v>
      </c>
      <c r="F269" s="227"/>
      <c r="G269" s="228"/>
      <c r="H269" s="66"/>
      <c r="I269" s="66"/>
      <c r="J269" s="66"/>
      <c r="K269" s="66"/>
      <c r="L269" s="229"/>
      <c r="M269" s="66"/>
      <c r="N269" s="230"/>
      <c r="O269" s="230"/>
      <c r="P269" s="66"/>
      <c r="Q269" s="171">
        <f>P271+P275</f>
        <v>36766000</v>
      </c>
      <c r="R269" s="171">
        <v>0</v>
      </c>
      <c r="S269" s="171">
        <f>Q269-R269</f>
        <v>36766000</v>
      </c>
      <c r="T269" s="172">
        <v>1</v>
      </c>
    </row>
    <row r="270" spans="1:25" ht="15" customHeight="1">
      <c r="A270" s="224"/>
      <c r="B270" s="225"/>
      <c r="C270" s="226"/>
      <c r="D270" s="225"/>
      <c r="E270" s="90"/>
      <c r="F270" s="1274" t="s">
        <v>2122</v>
      </c>
      <c r="G270" s="1622"/>
      <c r="H270" s="1273"/>
      <c r="I270" s="1273"/>
      <c r="J270" s="1273"/>
      <c r="K270" s="1273"/>
      <c r="L270" s="1623"/>
      <c r="M270" s="1273"/>
      <c r="N270" s="1624"/>
      <c r="O270" s="1624"/>
      <c r="P270" s="1866"/>
      <c r="Q270" s="388"/>
      <c r="R270" s="868"/>
      <c r="S270" s="868"/>
      <c r="T270" s="869"/>
      <c r="V270" s="275"/>
    </row>
    <row r="271" spans="1:25" ht="15" customHeight="1">
      <c r="A271" s="224"/>
      <c r="B271" s="225"/>
      <c r="C271" s="226"/>
      <c r="D271" s="225"/>
      <c r="E271" s="90"/>
      <c r="F271" s="248" t="s">
        <v>2123</v>
      </c>
      <c r="G271" s="1257"/>
      <c r="H271" s="859"/>
      <c r="I271" s="1595"/>
      <c r="J271" s="859"/>
      <c r="K271" s="1625"/>
      <c r="L271" s="1626"/>
      <c r="M271" s="1627"/>
      <c r="N271" s="1196"/>
      <c r="O271" s="1196"/>
      <c r="P271" s="1629">
        <f>SUM(P272:P274)</f>
        <v>10000000</v>
      </c>
      <c r="Q271" s="388"/>
      <c r="R271" s="868"/>
      <c r="S271" s="868"/>
      <c r="T271" s="869"/>
      <c r="W271" s="275"/>
      <c r="Y271" s="236"/>
    </row>
    <row r="272" spans="1:25" ht="15" customHeight="1">
      <c r="A272" s="224"/>
      <c r="B272" s="225"/>
      <c r="C272" s="226"/>
      <c r="D272" s="225"/>
      <c r="E272" s="90"/>
      <c r="F272" s="231" t="s">
        <v>2767</v>
      </c>
      <c r="G272" s="1257">
        <v>2000000</v>
      </c>
      <c r="H272" s="859" t="s">
        <v>109</v>
      </c>
      <c r="I272" s="1595">
        <v>1</v>
      </c>
      <c r="J272" s="859"/>
      <c r="K272" s="1625"/>
      <c r="L272" s="1626"/>
      <c r="M272" s="1627"/>
      <c r="N272" s="1196"/>
      <c r="O272" s="1196" t="s">
        <v>110</v>
      </c>
      <c r="P272" s="1628">
        <f>G272*I272</f>
        <v>2000000</v>
      </c>
      <c r="Q272" s="388"/>
      <c r="R272" s="868"/>
      <c r="S272" s="868"/>
      <c r="T272" s="869"/>
      <c r="W272" s="275"/>
      <c r="Y272" s="236"/>
    </row>
    <row r="273" spans="1:25" ht="15" customHeight="1">
      <c r="A273" s="224"/>
      <c r="B273" s="225"/>
      <c r="C273" s="226"/>
      <c r="D273" s="225"/>
      <c r="E273" s="90"/>
      <c r="F273" s="231" t="s">
        <v>2768</v>
      </c>
      <c r="G273" s="1257">
        <v>5000000</v>
      </c>
      <c r="H273" s="859" t="s">
        <v>109</v>
      </c>
      <c r="I273" s="1595">
        <v>1</v>
      </c>
      <c r="J273" s="859"/>
      <c r="K273" s="1625"/>
      <c r="L273" s="1626"/>
      <c r="M273" s="1627"/>
      <c r="N273" s="1196"/>
      <c r="O273" s="1196" t="s">
        <v>110</v>
      </c>
      <c r="P273" s="1628">
        <f>G273*I273</f>
        <v>5000000</v>
      </c>
      <c r="Q273" s="388"/>
      <c r="R273" s="868"/>
      <c r="S273" s="868"/>
      <c r="T273" s="869"/>
      <c r="W273" s="275"/>
      <c r="Y273" s="236"/>
    </row>
    <row r="274" spans="1:25" ht="15" customHeight="1">
      <c r="A274" s="224"/>
      <c r="B274" s="225"/>
      <c r="C274" s="226"/>
      <c r="D274" s="225"/>
      <c r="E274" s="90"/>
      <c r="F274" s="231" t="s">
        <v>2769</v>
      </c>
      <c r="G274" s="1257">
        <v>3000000</v>
      </c>
      <c r="H274" s="859" t="s">
        <v>109</v>
      </c>
      <c r="I274" s="1595">
        <v>1</v>
      </c>
      <c r="J274" s="859"/>
      <c r="K274" s="1625"/>
      <c r="L274" s="1626"/>
      <c r="M274" s="1627"/>
      <c r="N274" s="1196"/>
      <c r="O274" s="1196" t="s">
        <v>110</v>
      </c>
      <c r="P274" s="1628">
        <f>G274*I274</f>
        <v>3000000</v>
      </c>
      <c r="Q274" s="388"/>
      <c r="R274" s="868"/>
      <c r="S274" s="868"/>
      <c r="T274" s="869"/>
      <c r="W274" s="275"/>
      <c r="Y274" s="236"/>
    </row>
    <row r="275" spans="1:25" s="826" customFormat="1" ht="15" customHeight="1">
      <c r="A275" s="1286"/>
      <c r="B275" s="858"/>
      <c r="C275" s="858"/>
      <c r="D275" s="858"/>
      <c r="E275" s="122"/>
      <c r="F275" s="1193" t="s">
        <v>2124</v>
      </c>
      <c r="G275" s="1194"/>
      <c r="H275" s="859"/>
      <c r="I275" s="859"/>
      <c r="J275" s="859"/>
      <c r="K275" s="859"/>
      <c r="L275" s="1195"/>
      <c r="M275" s="859"/>
      <c r="N275" s="1196"/>
      <c r="O275" s="1196"/>
      <c r="P275" s="1629">
        <f>SUM(P276:P277)</f>
        <v>26766000</v>
      </c>
      <c r="Q275" s="388"/>
      <c r="R275" s="868"/>
      <c r="S275" s="868"/>
      <c r="T275" s="869"/>
    </row>
    <row r="276" spans="1:25" s="826" customFormat="1" ht="15" customHeight="1">
      <c r="A276" s="1286"/>
      <c r="B276" s="858"/>
      <c r="C276" s="858"/>
      <c r="D276" s="858"/>
      <c r="E276" s="122"/>
      <c r="F276" s="248" t="s">
        <v>2125</v>
      </c>
      <c r="G276" s="1257">
        <v>3750000</v>
      </c>
      <c r="H276" s="859" t="s">
        <v>109</v>
      </c>
      <c r="I276" s="1595">
        <v>4</v>
      </c>
      <c r="J276" s="859"/>
      <c r="K276" s="1625"/>
      <c r="L276" s="1626"/>
      <c r="M276" s="1627"/>
      <c r="N276" s="1196"/>
      <c r="O276" s="1196" t="s">
        <v>110</v>
      </c>
      <c r="P276" s="1628">
        <f>G276*I276</f>
        <v>15000000</v>
      </c>
      <c r="Q276" s="388"/>
      <c r="R276" s="868"/>
      <c r="S276" s="868"/>
      <c r="T276" s="869"/>
    </row>
    <row r="277" spans="1:25" s="826" customFormat="1" ht="15" customHeight="1" thickBot="1">
      <c r="A277" s="1630"/>
      <c r="B277" s="901"/>
      <c r="C277" s="901"/>
      <c r="D277" s="901"/>
      <c r="E277" s="1631"/>
      <c r="F277" s="1632" t="s">
        <v>2126</v>
      </c>
      <c r="G277" s="1633">
        <v>5883000</v>
      </c>
      <c r="H277" s="902" t="s">
        <v>109</v>
      </c>
      <c r="I277" s="1595">
        <v>2</v>
      </c>
      <c r="J277" s="902"/>
      <c r="K277" s="1634"/>
      <c r="L277" s="1635"/>
      <c r="M277" s="1636"/>
      <c r="N277" s="1637"/>
      <c r="O277" s="1637" t="s">
        <v>110</v>
      </c>
      <c r="P277" s="1638">
        <f>G277*I277</f>
        <v>11766000</v>
      </c>
      <c r="Q277" s="909"/>
      <c r="R277" s="910"/>
      <c r="S277" s="910"/>
      <c r="T277" s="911"/>
      <c r="U277" s="1639"/>
    </row>
    <row r="278" spans="1:25">
      <c r="P278" s="1640"/>
    </row>
  </sheetData>
  <mergeCells count="24">
    <mergeCell ref="I60:J60"/>
    <mergeCell ref="A1:T1"/>
    <mergeCell ref="S2:T2"/>
    <mergeCell ref="A3:E3"/>
    <mergeCell ref="G3:P4"/>
    <mergeCell ref="Q3:Q4"/>
    <mergeCell ref="R3:R4"/>
    <mergeCell ref="S3:S4"/>
    <mergeCell ref="T3:T4"/>
    <mergeCell ref="I50:J50"/>
    <mergeCell ref="I53:J53"/>
    <mergeCell ref="I57:J57"/>
    <mergeCell ref="I58:J58"/>
    <mergeCell ref="I59:J59"/>
    <mergeCell ref="I197:J197"/>
    <mergeCell ref="I198:J198"/>
    <mergeCell ref="I199:J199"/>
    <mergeCell ref="M201:N201"/>
    <mergeCell ref="I61:J61"/>
    <mergeCell ref="K75:L75"/>
    <mergeCell ref="M190:N190"/>
    <mergeCell ref="I192:J192"/>
    <mergeCell ref="I195:J195"/>
    <mergeCell ref="I196:J196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scale="74" firstPageNumber="76" fitToHeight="0" orientation="landscape" useFirstPageNumber="1" horizontalDpi="4294967293" r:id="rId1"/>
  <headerFooter scaleWithDoc="0" alignWithMargins="0">
    <oddFooter>&amp;C&amp;P</oddFooter>
  </headerFooter>
  <rowBreaks count="7" manualBreakCount="7">
    <brk id="37" max="19" man="1"/>
    <brk id="72" max="19" man="1"/>
    <brk id="107" max="19" man="1"/>
    <brk id="146" max="19" man="1"/>
    <brk id="192" max="19" man="1"/>
    <brk id="227" max="19" man="1"/>
    <brk id="266" max="19" man="1"/>
  </rowBreaks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3399FF"/>
    <pageSetUpPr fitToPage="1"/>
  </sheetPr>
  <dimension ref="A1:AC447"/>
  <sheetViews>
    <sheetView view="pageBreakPreview" zoomScale="85" zoomScaleNormal="85" zoomScaleSheetLayoutView="85" workbookViewId="0">
      <pane ySplit="5" topLeftCell="A6" activePane="bottomLeft" state="frozen"/>
      <selection activeCell="V20" sqref="V20"/>
      <selection pane="bottomLeft" activeCell="V20" sqref="V20"/>
    </sheetView>
  </sheetViews>
  <sheetFormatPr defaultColWidth="9" defaultRowHeight="13.5"/>
  <cols>
    <col min="1" max="1" width="3.625" style="196" customWidth="1"/>
    <col min="2" max="4" width="3.625" style="193" customWidth="1"/>
    <col min="5" max="5" width="10.625" style="193" customWidth="1"/>
    <col min="6" max="6" width="31.625" style="196" customWidth="1"/>
    <col min="7" max="7" width="13.125" style="195" bestFit="1" customWidth="1"/>
    <col min="8" max="8" width="2.125" style="196" customWidth="1"/>
    <col min="9" max="9" width="7.75" style="196" bestFit="1" customWidth="1"/>
    <col min="10" max="10" width="2.125" style="196" customWidth="1"/>
    <col min="11" max="11" width="7.375" style="196" bestFit="1" customWidth="1"/>
    <col min="12" max="12" width="2.625" style="197" customWidth="1"/>
    <col min="13" max="13" width="2.625" style="198" customWidth="1"/>
    <col min="14" max="14" width="12.375" style="196" bestFit="1" customWidth="1"/>
    <col min="15" max="15" width="10.625" style="199" customWidth="1"/>
    <col min="16" max="17" width="10.625" style="200" customWidth="1"/>
    <col min="18" max="18" width="10.625" style="289" customWidth="1"/>
    <col min="19" max="19" width="9" style="196"/>
    <col min="20" max="20" width="12.75" style="196" customWidth="1"/>
    <col min="21" max="21" width="11.875" style="196" bestFit="1" customWidth="1"/>
    <col min="22" max="22" width="11.75" style="196" customWidth="1"/>
    <col min="23" max="26" width="9" style="196"/>
    <col min="27" max="27" width="11.5" style="196" bestFit="1" customWidth="1"/>
    <col min="28" max="28" width="9" style="196"/>
    <col min="29" max="29" width="10.125" style="196" bestFit="1" customWidth="1"/>
    <col min="30" max="16384" width="9" style="196"/>
  </cols>
  <sheetData>
    <row r="1" spans="1:22" s="192" customFormat="1" ht="35.1" customHeight="1">
      <c r="A1" s="1968" t="s">
        <v>1155</v>
      </c>
      <c r="B1" s="1968"/>
      <c r="C1" s="1968"/>
      <c r="D1" s="1968"/>
      <c r="E1" s="1968"/>
      <c r="F1" s="1968"/>
      <c r="G1" s="1968"/>
      <c r="H1" s="1968"/>
      <c r="I1" s="1968"/>
      <c r="J1" s="1968"/>
      <c r="K1" s="1968"/>
      <c r="L1" s="1968"/>
      <c r="M1" s="1968"/>
      <c r="N1" s="1968"/>
      <c r="O1" s="1968"/>
      <c r="P1" s="1968"/>
      <c r="Q1" s="1968"/>
      <c r="R1" s="1968"/>
    </row>
    <row r="2" spans="1:22" ht="15" customHeight="1" thickBot="1">
      <c r="A2" s="192" t="s">
        <v>1156</v>
      </c>
      <c r="Q2" s="1969" t="s">
        <v>1157</v>
      </c>
      <c r="R2" s="1969"/>
    </row>
    <row r="3" spans="1:22" s="201" customFormat="1" ht="14.45" customHeight="1">
      <c r="A3" s="1970" t="s">
        <v>1158</v>
      </c>
      <c r="B3" s="1971"/>
      <c r="C3" s="1971"/>
      <c r="D3" s="1971"/>
      <c r="E3" s="1971"/>
      <c r="F3" s="1987"/>
      <c r="G3" s="2007" t="s">
        <v>1159</v>
      </c>
      <c r="H3" s="1972"/>
      <c r="I3" s="1972"/>
      <c r="J3" s="1972"/>
      <c r="K3" s="1972"/>
      <c r="L3" s="1972"/>
      <c r="M3" s="1972"/>
      <c r="N3" s="1973"/>
      <c r="O3" s="1976" t="s">
        <v>1160</v>
      </c>
      <c r="P3" s="1978" t="s">
        <v>354</v>
      </c>
      <c r="Q3" s="1980" t="s">
        <v>1161</v>
      </c>
      <c r="R3" s="1982" t="s">
        <v>1162</v>
      </c>
    </row>
    <row r="4" spans="1:22" s="201" customFormat="1" ht="14.45" customHeight="1" thickBot="1">
      <c r="A4" s="1750" t="s">
        <v>1163</v>
      </c>
      <c r="B4" s="1751" t="s">
        <v>1164</v>
      </c>
      <c r="C4" s="1751" t="s">
        <v>1165</v>
      </c>
      <c r="D4" s="1751" t="s">
        <v>1166</v>
      </c>
      <c r="E4" s="1751" t="s">
        <v>1167</v>
      </c>
      <c r="F4" s="1752" t="s">
        <v>1168</v>
      </c>
      <c r="G4" s="2008"/>
      <c r="H4" s="1974"/>
      <c r="I4" s="1974"/>
      <c r="J4" s="1974"/>
      <c r="K4" s="1974"/>
      <c r="L4" s="1974"/>
      <c r="M4" s="1974"/>
      <c r="N4" s="1975"/>
      <c r="O4" s="1977"/>
      <c r="P4" s="1979"/>
      <c r="Q4" s="1981"/>
      <c r="R4" s="1983"/>
    </row>
    <row r="5" spans="1:22" s="192" customFormat="1" ht="14.45" customHeight="1">
      <c r="A5" s="1641" t="s">
        <v>1169</v>
      </c>
      <c r="B5" s="1642"/>
      <c r="C5" s="1642"/>
      <c r="D5" s="1642"/>
      <c r="E5" s="1642"/>
      <c r="F5" s="1642"/>
      <c r="G5" s="1108"/>
      <c r="H5" s="1107"/>
      <c r="I5" s="1107"/>
      <c r="J5" s="1107"/>
      <c r="K5" s="1107"/>
      <c r="L5" s="1642"/>
      <c r="M5" s="1109"/>
      <c r="N5" s="1107"/>
      <c r="O5" s="1110">
        <f>O6</f>
        <v>1705842000</v>
      </c>
      <c r="P5" s="1110">
        <f>P6</f>
        <v>1271000000</v>
      </c>
      <c r="Q5" s="1110">
        <f>Q6</f>
        <v>434842000</v>
      </c>
      <c r="R5" s="1111">
        <f>+Q5/P5</f>
        <v>0.34212588512981906</v>
      </c>
      <c r="T5" s="192">
        <v>1705842000</v>
      </c>
      <c r="V5" s="989">
        <f>O5-T5</f>
        <v>0</v>
      </c>
    </row>
    <row r="6" spans="1:22" s="192" customFormat="1" ht="14.45" customHeight="1">
      <c r="A6" s="204"/>
      <c r="B6" s="266" t="s">
        <v>1170</v>
      </c>
      <c r="C6" s="214"/>
      <c r="D6" s="214"/>
      <c r="E6" s="214"/>
      <c r="F6" s="217"/>
      <c r="G6" s="216"/>
      <c r="H6" s="217"/>
      <c r="I6" s="217"/>
      <c r="J6" s="217"/>
      <c r="K6" s="217"/>
      <c r="L6" s="218"/>
      <c r="M6" s="219"/>
      <c r="N6" s="217"/>
      <c r="O6" s="220">
        <f>O7+O78+O85+O439</f>
        <v>1705842000</v>
      </c>
      <c r="P6" s="220">
        <f>P7+P78+P85+P439</f>
        <v>1271000000</v>
      </c>
      <c r="Q6" s="220">
        <f>O6-P6</f>
        <v>434842000</v>
      </c>
      <c r="R6" s="221">
        <f>+Q6/P6</f>
        <v>0.34212588512981906</v>
      </c>
    </row>
    <row r="7" spans="1:22" s="192" customFormat="1" ht="14.45" customHeight="1">
      <c r="A7" s="204"/>
      <c r="B7" s="213"/>
      <c r="C7" s="174" t="s">
        <v>1171</v>
      </c>
      <c r="D7" s="174"/>
      <c r="E7" s="174"/>
      <c r="F7" s="217"/>
      <c r="G7" s="216"/>
      <c r="H7" s="217"/>
      <c r="I7" s="217"/>
      <c r="J7" s="217"/>
      <c r="K7" s="217"/>
      <c r="L7" s="218"/>
      <c r="M7" s="219"/>
      <c r="N7" s="217"/>
      <c r="O7" s="220">
        <f>O8+O52</f>
        <v>822500000</v>
      </c>
      <c r="P7" s="220">
        <f>P8+P52</f>
        <v>751300000</v>
      </c>
      <c r="Q7" s="220">
        <f>Q8+Q52+Q78</f>
        <v>39200000</v>
      </c>
      <c r="R7" s="221">
        <f>+Q7/P7</f>
        <v>5.2176227871689074E-2</v>
      </c>
      <c r="T7" s="1544"/>
    </row>
    <row r="8" spans="1:22" s="192" customFormat="1" ht="14.45" customHeight="1">
      <c r="A8" s="204"/>
      <c r="B8" s="222"/>
      <c r="C8" s="82"/>
      <c r="D8" s="394" t="s">
        <v>1172</v>
      </c>
      <c r="E8" s="394"/>
      <c r="F8" s="84"/>
      <c r="G8" s="86"/>
      <c r="H8" s="84"/>
      <c r="I8" s="84"/>
      <c r="J8" s="84"/>
      <c r="K8" s="84"/>
      <c r="L8" s="83"/>
      <c r="M8" s="87"/>
      <c r="N8" s="84"/>
      <c r="O8" s="76">
        <f>SUM(O9:O51)</f>
        <v>574933000</v>
      </c>
      <c r="P8" s="76">
        <f>SUM(P9:P51)</f>
        <v>597800000</v>
      </c>
      <c r="Q8" s="76">
        <f>SUM(Q9:Q51)</f>
        <v>-22867000</v>
      </c>
      <c r="R8" s="77">
        <f>+Q8/P8</f>
        <v>-3.8251923720307793E-2</v>
      </c>
    </row>
    <row r="9" spans="1:22" ht="14.45" customHeight="1">
      <c r="A9" s="224"/>
      <c r="B9" s="225"/>
      <c r="C9" s="226"/>
      <c r="D9" s="521"/>
      <c r="E9" s="255" t="s">
        <v>1173</v>
      </c>
      <c r="F9" s="66"/>
      <c r="G9" s="228"/>
      <c r="H9" s="66"/>
      <c r="I9" s="66"/>
      <c r="J9" s="66"/>
      <c r="K9" s="66"/>
      <c r="L9" s="229"/>
      <c r="M9" s="230"/>
      <c r="N9" s="66"/>
      <c r="O9" s="171">
        <f>ROUNDUP((N10),-3)</f>
        <v>336675000</v>
      </c>
      <c r="P9" s="171">
        <v>414000000</v>
      </c>
      <c r="Q9" s="171">
        <f>+O9-P9</f>
        <v>-77325000</v>
      </c>
      <c r="R9" s="172">
        <f>+Q9/P9</f>
        <v>-0.18677536231884059</v>
      </c>
    </row>
    <row r="10" spans="1:22" ht="14.45" customHeight="1">
      <c r="A10" s="224"/>
      <c r="B10" s="225"/>
      <c r="C10" s="226"/>
      <c r="D10" s="521"/>
      <c r="E10" s="521"/>
      <c r="F10" s="240" t="s">
        <v>1174</v>
      </c>
      <c r="G10" s="249"/>
      <c r="H10" s="240"/>
      <c r="I10" s="240"/>
      <c r="J10" s="240"/>
      <c r="K10" s="240"/>
      <c r="L10" s="250"/>
      <c r="M10" s="244"/>
      <c r="N10" s="234">
        <f>SUM(N11:N23)</f>
        <v>336675000</v>
      </c>
      <c r="O10" s="235"/>
      <c r="P10" s="997"/>
      <c r="Q10" s="997"/>
      <c r="R10" s="246"/>
      <c r="T10" s="1643"/>
    </row>
    <row r="11" spans="1:22" ht="14.45" customHeight="1">
      <c r="A11" s="224"/>
      <c r="B11" s="225"/>
      <c r="C11" s="226"/>
      <c r="D11" s="521"/>
      <c r="E11" s="521"/>
      <c r="F11" s="998" t="s">
        <v>2466</v>
      </c>
      <c r="G11" s="239">
        <v>1200000</v>
      </c>
      <c r="H11" s="240" t="s">
        <v>1175</v>
      </c>
      <c r="I11" s="241">
        <v>1</v>
      </c>
      <c r="J11" s="240" t="s">
        <v>109</v>
      </c>
      <c r="K11" s="242">
        <v>12</v>
      </c>
      <c r="L11" s="243"/>
      <c r="M11" s="244" t="s">
        <v>1176</v>
      </c>
      <c r="N11" s="245">
        <f>ROUNDUP(G11*I11*K11,-3)</f>
        <v>14400000</v>
      </c>
      <c r="O11" s="235"/>
      <c r="P11" s="997"/>
      <c r="Q11" s="997"/>
      <c r="R11" s="246"/>
      <c r="T11" s="236"/>
      <c r="U11" s="705"/>
    </row>
    <row r="12" spans="1:22" ht="14.45" customHeight="1">
      <c r="A12" s="224"/>
      <c r="B12" s="225"/>
      <c r="C12" s="226"/>
      <c r="D12" s="521"/>
      <c r="E12" s="521"/>
      <c r="F12" s="998" t="s">
        <v>1177</v>
      </c>
      <c r="G12" s="239">
        <v>2890500</v>
      </c>
      <c r="H12" s="240" t="s">
        <v>1175</v>
      </c>
      <c r="I12" s="241">
        <v>1</v>
      </c>
      <c r="J12" s="240" t="s">
        <v>109</v>
      </c>
      <c r="K12" s="242">
        <v>12</v>
      </c>
      <c r="L12" s="243"/>
      <c r="M12" s="244" t="s">
        <v>283</v>
      </c>
      <c r="N12" s="245">
        <f>ROUNDUP(G12*I12*K12,-3)</f>
        <v>34686000</v>
      </c>
      <c r="O12" s="235"/>
      <c r="P12" s="997"/>
      <c r="Q12" s="997"/>
      <c r="R12" s="246"/>
    </row>
    <row r="13" spans="1:22" ht="14.45" customHeight="1">
      <c r="A13" s="224"/>
      <c r="B13" s="225"/>
      <c r="C13" s="226"/>
      <c r="D13" s="521"/>
      <c r="E13" s="521"/>
      <c r="F13" s="998" t="s">
        <v>1178</v>
      </c>
      <c r="G13" s="239">
        <v>3332000</v>
      </c>
      <c r="H13" s="240" t="s">
        <v>277</v>
      </c>
      <c r="I13" s="241">
        <v>1</v>
      </c>
      <c r="J13" s="240" t="s">
        <v>109</v>
      </c>
      <c r="K13" s="242">
        <v>12</v>
      </c>
      <c r="L13" s="243"/>
      <c r="M13" s="244" t="s">
        <v>1176</v>
      </c>
      <c r="N13" s="245">
        <f t="shared" ref="N13:N23" si="0">ROUNDUP(G13*I13*K13,-3)</f>
        <v>39984000</v>
      </c>
      <c r="O13" s="235"/>
      <c r="P13" s="997"/>
      <c r="Q13" s="997"/>
      <c r="R13" s="246"/>
      <c r="T13" s="275"/>
    </row>
    <row r="14" spans="1:22" ht="14.45" customHeight="1">
      <c r="A14" s="224"/>
      <c r="B14" s="225"/>
      <c r="C14" s="226"/>
      <c r="D14" s="521"/>
      <c r="E14" s="521"/>
      <c r="F14" s="998" t="s">
        <v>2465</v>
      </c>
      <c r="G14" s="239">
        <v>2381000</v>
      </c>
      <c r="H14" s="240" t="s">
        <v>1175</v>
      </c>
      <c r="I14" s="241">
        <v>1</v>
      </c>
      <c r="J14" s="240" t="s">
        <v>109</v>
      </c>
      <c r="K14" s="242">
        <v>12</v>
      </c>
      <c r="L14" s="243"/>
      <c r="M14" s="244" t="s">
        <v>1176</v>
      </c>
      <c r="N14" s="245">
        <f t="shared" si="0"/>
        <v>28572000</v>
      </c>
      <c r="O14" s="235"/>
      <c r="P14" s="997"/>
      <c r="Q14" s="997"/>
      <c r="R14" s="246"/>
      <c r="U14" s="236"/>
      <c r="V14" s="236"/>
    </row>
    <row r="15" spans="1:22" ht="14.45" customHeight="1">
      <c r="A15" s="224"/>
      <c r="B15" s="225"/>
      <c r="C15" s="226"/>
      <c r="D15" s="521"/>
      <c r="E15" s="521"/>
      <c r="F15" s="998" t="s">
        <v>1179</v>
      </c>
      <c r="G15" s="239">
        <v>3024000</v>
      </c>
      <c r="H15" s="240" t="s">
        <v>1175</v>
      </c>
      <c r="I15" s="241">
        <v>1</v>
      </c>
      <c r="J15" s="240" t="s">
        <v>109</v>
      </c>
      <c r="K15" s="242">
        <v>12</v>
      </c>
      <c r="L15" s="243"/>
      <c r="M15" s="244" t="s">
        <v>1176</v>
      </c>
      <c r="N15" s="245">
        <f t="shared" si="0"/>
        <v>36288000</v>
      </c>
      <c r="O15" s="235"/>
      <c r="P15" s="997"/>
      <c r="Q15" s="997"/>
      <c r="R15" s="246"/>
      <c r="T15" s="236"/>
      <c r="U15" s="236"/>
      <c r="V15" s="236"/>
    </row>
    <row r="16" spans="1:22" ht="14.45" customHeight="1">
      <c r="A16" s="224"/>
      <c r="B16" s="225"/>
      <c r="C16" s="226"/>
      <c r="D16" s="521"/>
      <c r="E16" s="521"/>
      <c r="F16" s="998" t="s">
        <v>1180</v>
      </c>
      <c r="G16" s="239">
        <v>2319200</v>
      </c>
      <c r="H16" s="240" t="s">
        <v>1175</v>
      </c>
      <c r="I16" s="241">
        <v>1</v>
      </c>
      <c r="J16" s="240" t="s">
        <v>109</v>
      </c>
      <c r="K16" s="242">
        <v>12</v>
      </c>
      <c r="L16" s="243"/>
      <c r="M16" s="244" t="s">
        <v>1176</v>
      </c>
      <c r="N16" s="245">
        <f t="shared" si="0"/>
        <v>27831000</v>
      </c>
      <c r="O16" s="235"/>
      <c r="P16" s="997"/>
      <c r="Q16" s="997"/>
      <c r="R16" s="246"/>
      <c r="V16" s="236"/>
    </row>
    <row r="17" spans="1:22" ht="14.45" customHeight="1">
      <c r="A17" s="224"/>
      <c r="B17" s="225"/>
      <c r="C17" s="226"/>
      <c r="D17" s="521"/>
      <c r="E17" s="521"/>
      <c r="F17" s="998" t="s">
        <v>1181</v>
      </c>
      <c r="G17" s="239">
        <v>2186400</v>
      </c>
      <c r="H17" s="240" t="s">
        <v>277</v>
      </c>
      <c r="I17" s="241">
        <v>1</v>
      </c>
      <c r="J17" s="240" t="s">
        <v>109</v>
      </c>
      <c r="K17" s="242">
        <v>12</v>
      </c>
      <c r="L17" s="243"/>
      <c r="M17" s="244" t="s">
        <v>283</v>
      </c>
      <c r="N17" s="245">
        <f t="shared" si="0"/>
        <v>26237000</v>
      </c>
      <c r="O17" s="235"/>
      <c r="P17" s="997"/>
      <c r="Q17" s="997"/>
      <c r="R17" s="246"/>
      <c r="U17" s="236"/>
      <c r="V17" s="236"/>
    </row>
    <row r="18" spans="1:22" ht="14.45" customHeight="1">
      <c r="A18" s="224"/>
      <c r="B18" s="225"/>
      <c r="C18" s="226"/>
      <c r="D18" s="521"/>
      <c r="E18" s="521"/>
      <c r="F18" s="998" t="s">
        <v>1182</v>
      </c>
      <c r="G18" s="239">
        <v>2118100</v>
      </c>
      <c r="H18" s="240" t="s">
        <v>277</v>
      </c>
      <c r="I18" s="241">
        <v>1</v>
      </c>
      <c r="J18" s="240" t="s">
        <v>109</v>
      </c>
      <c r="K18" s="242">
        <v>12</v>
      </c>
      <c r="L18" s="243"/>
      <c r="M18" s="244" t="s">
        <v>1176</v>
      </c>
      <c r="N18" s="245">
        <f t="shared" si="0"/>
        <v>25418000</v>
      </c>
      <c r="O18" s="235"/>
      <c r="P18" s="997"/>
      <c r="Q18" s="997"/>
      <c r="R18" s="246"/>
    </row>
    <row r="19" spans="1:22" ht="14.45" customHeight="1">
      <c r="A19" s="224"/>
      <c r="B19" s="225"/>
      <c r="C19" s="226"/>
      <c r="D19" s="521"/>
      <c r="E19" s="521"/>
      <c r="F19" s="998" t="s">
        <v>1183</v>
      </c>
      <c r="G19" s="239">
        <v>1972300</v>
      </c>
      <c r="H19" s="240" t="s">
        <v>277</v>
      </c>
      <c r="I19" s="241">
        <v>1</v>
      </c>
      <c r="J19" s="240" t="s">
        <v>109</v>
      </c>
      <c r="K19" s="242">
        <v>12</v>
      </c>
      <c r="L19" s="243"/>
      <c r="M19" s="244" t="s">
        <v>283</v>
      </c>
      <c r="N19" s="245">
        <f t="shared" si="0"/>
        <v>23668000</v>
      </c>
      <c r="O19" s="235"/>
      <c r="P19" s="997"/>
      <c r="Q19" s="997"/>
      <c r="R19" s="246"/>
    </row>
    <row r="20" spans="1:22" ht="14.45" customHeight="1">
      <c r="A20" s="224"/>
      <c r="B20" s="225"/>
      <c r="C20" s="226"/>
      <c r="D20" s="521"/>
      <c r="E20" s="521"/>
      <c r="F20" s="998" t="s">
        <v>1184</v>
      </c>
      <c r="G20" s="239">
        <v>1933400</v>
      </c>
      <c r="H20" s="240" t="s">
        <v>1175</v>
      </c>
      <c r="I20" s="241">
        <v>1</v>
      </c>
      <c r="J20" s="240" t="s">
        <v>109</v>
      </c>
      <c r="K20" s="242">
        <v>12</v>
      </c>
      <c r="L20" s="243"/>
      <c r="M20" s="244" t="s">
        <v>1176</v>
      </c>
      <c r="N20" s="245">
        <f t="shared" si="0"/>
        <v>23201000</v>
      </c>
      <c r="O20" s="235"/>
      <c r="P20" s="997"/>
      <c r="Q20" s="997"/>
      <c r="R20" s="246"/>
    </row>
    <row r="21" spans="1:22" ht="14.45" customHeight="1">
      <c r="A21" s="224"/>
      <c r="B21" s="225"/>
      <c r="C21" s="226"/>
      <c r="D21" s="521"/>
      <c r="E21" s="521"/>
      <c r="F21" s="998" t="s">
        <v>1185</v>
      </c>
      <c r="G21" s="239">
        <v>1071300</v>
      </c>
      <c r="H21" s="240" t="s">
        <v>1175</v>
      </c>
      <c r="I21" s="241">
        <v>1</v>
      </c>
      <c r="J21" s="240" t="s">
        <v>109</v>
      </c>
      <c r="K21" s="242">
        <v>12</v>
      </c>
      <c r="L21" s="243"/>
      <c r="M21" s="244" t="s">
        <v>1176</v>
      </c>
      <c r="N21" s="245">
        <f t="shared" si="0"/>
        <v>12856000</v>
      </c>
      <c r="O21" s="235"/>
      <c r="P21" s="997"/>
      <c r="Q21" s="997"/>
      <c r="R21" s="246"/>
    </row>
    <row r="22" spans="1:22" ht="14.45" customHeight="1">
      <c r="A22" s="224"/>
      <c r="B22" s="225"/>
      <c r="C22" s="226"/>
      <c r="D22" s="521"/>
      <c r="E22" s="521"/>
      <c r="F22" s="998" t="s">
        <v>1186</v>
      </c>
      <c r="G22" s="239">
        <v>1813900</v>
      </c>
      <c r="H22" s="240" t="s">
        <v>277</v>
      </c>
      <c r="I22" s="241">
        <v>1</v>
      </c>
      <c r="J22" s="240" t="s">
        <v>109</v>
      </c>
      <c r="K22" s="242">
        <v>12</v>
      </c>
      <c r="L22" s="243"/>
      <c r="M22" s="244" t="s">
        <v>283</v>
      </c>
      <c r="N22" s="245">
        <f t="shared" si="0"/>
        <v>21767000</v>
      </c>
      <c r="O22" s="235"/>
      <c r="P22" s="997"/>
      <c r="Q22" s="997"/>
      <c r="R22" s="246"/>
    </row>
    <row r="23" spans="1:22" ht="14.45" customHeight="1">
      <c r="A23" s="224"/>
      <c r="B23" s="225"/>
      <c r="C23" s="226"/>
      <c r="D23" s="521"/>
      <c r="E23" s="521"/>
      <c r="F23" s="998" t="s">
        <v>1187</v>
      </c>
      <c r="G23" s="239">
        <v>1813900</v>
      </c>
      <c r="H23" s="240" t="s">
        <v>1175</v>
      </c>
      <c r="I23" s="241">
        <v>1</v>
      </c>
      <c r="J23" s="240" t="s">
        <v>109</v>
      </c>
      <c r="K23" s="242">
        <v>12</v>
      </c>
      <c r="L23" s="243"/>
      <c r="M23" s="244" t="s">
        <v>1176</v>
      </c>
      <c r="N23" s="245">
        <f t="shared" si="0"/>
        <v>21767000</v>
      </c>
      <c r="O23" s="235"/>
      <c r="P23" s="997"/>
      <c r="Q23" s="997"/>
      <c r="R23" s="246"/>
    </row>
    <row r="24" spans="1:22" ht="14.45" customHeight="1">
      <c r="A24" s="224"/>
      <c r="B24" s="225"/>
      <c r="C24" s="226"/>
      <c r="D24" s="521"/>
      <c r="E24" s="255" t="s">
        <v>640</v>
      </c>
      <c r="F24" s="66"/>
      <c r="G24" s="228"/>
      <c r="H24" s="66"/>
      <c r="I24" s="66"/>
      <c r="J24" s="66"/>
      <c r="K24" s="66"/>
      <c r="L24" s="229"/>
      <c r="M24" s="230"/>
      <c r="N24" s="66"/>
      <c r="O24" s="171">
        <f>ROUNDUP((N25+N27+N30+N32+N34+N36+N38+N40+N42),-3)</f>
        <v>153416000</v>
      </c>
      <c r="P24" s="171">
        <v>63200000</v>
      </c>
      <c r="Q24" s="171">
        <f>+O24-P24</f>
        <v>90216000</v>
      </c>
      <c r="R24" s="172">
        <f>+Q24/P24</f>
        <v>1.4274683544303797</v>
      </c>
    </row>
    <row r="25" spans="1:22" ht="14.45" customHeight="1">
      <c r="A25" s="224"/>
      <c r="B25" s="225"/>
      <c r="C25" s="226"/>
      <c r="D25" s="521"/>
      <c r="E25" s="521"/>
      <c r="F25" s="240" t="s">
        <v>1188</v>
      </c>
      <c r="G25" s="249"/>
      <c r="H25" s="240"/>
      <c r="I25" s="240"/>
      <c r="J25" s="240"/>
      <c r="K25" s="240"/>
      <c r="L25" s="250"/>
      <c r="M25" s="244"/>
      <c r="N25" s="251">
        <f>SUM(N26:N26)</f>
        <v>64800000</v>
      </c>
      <c r="O25" s="235"/>
      <c r="P25" s="997"/>
      <c r="Q25" s="997"/>
      <c r="R25" s="246"/>
    </row>
    <row r="26" spans="1:22" ht="14.45" customHeight="1">
      <c r="A26" s="224"/>
      <c r="B26" s="225"/>
      <c r="C26" s="226"/>
      <c r="D26" s="521"/>
      <c r="E26" s="521"/>
      <c r="F26" s="998" t="s">
        <v>1189</v>
      </c>
      <c r="G26" s="252">
        <v>5400000</v>
      </c>
      <c r="H26" s="240" t="s">
        <v>277</v>
      </c>
      <c r="I26" s="265">
        <v>1</v>
      </c>
      <c r="J26" s="240" t="s">
        <v>1175</v>
      </c>
      <c r="K26" s="242">
        <v>12</v>
      </c>
      <c r="L26" s="250"/>
      <c r="M26" s="244" t="s">
        <v>283</v>
      </c>
      <c r="N26" s="245">
        <f>ROUNDUP(G26*I26*K26,-3)</f>
        <v>64800000</v>
      </c>
      <c r="O26" s="235"/>
      <c r="P26" s="997"/>
      <c r="Q26" s="997"/>
      <c r="R26" s="246"/>
    </row>
    <row r="27" spans="1:22" ht="14.45" customHeight="1">
      <c r="A27" s="224"/>
      <c r="B27" s="225"/>
      <c r="C27" s="226"/>
      <c r="D27" s="521"/>
      <c r="E27" s="521"/>
      <c r="F27" s="106" t="s">
        <v>1190</v>
      </c>
      <c r="G27" s="121"/>
      <c r="H27" s="106"/>
      <c r="I27" s="107"/>
      <c r="J27" s="106"/>
      <c r="K27" s="108"/>
      <c r="L27" s="124"/>
      <c r="M27" s="110"/>
      <c r="N27" s="125">
        <f>SUM(N28:N29)</f>
        <v>8400000</v>
      </c>
      <c r="O27" s="235"/>
      <c r="P27" s="997"/>
      <c r="Q27" s="997"/>
      <c r="R27" s="246"/>
    </row>
    <row r="28" spans="1:22" ht="14.45" customHeight="1">
      <c r="A28" s="224"/>
      <c r="B28" s="225"/>
      <c r="C28" s="226"/>
      <c r="D28" s="521"/>
      <c r="E28" s="521"/>
      <c r="F28" s="132" t="s">
        <v>1191</v>
      </c>
      <c r="G28" s="121">
        <v>250000</v>
      </c>
      <c r="H28" s="106" t="s">
        <v>277</v>
      </c>
      <c r="I28" s="107">
        <v>2</v>
      </c>
      <c r="J28" s="106" t="s">
        <v>1175</v>
      </c>
      <c r="K28" s="108">
        <v>12</v>
      </c>
      <c r="L28" s="124"/>
      <c r="M28" s="110" t="s">
        <v>1176</v>
      </c>
      <c r="N28" s="111">
        <f>ROUNDUP(G28*I28*K28,-3)</f>
        <v>6000000</v>
      </c>
      <c r="O28" s="235"/>
      <c r="P28" s="997"/>
      <c r="Q28" s="997"/>
      <c r="R28" s="246"/>
    </row>
    <row r="29" spans="1:22" ht="14.45" customHeight="1">
      <c r="A29" s="224"/>
      <c r="B29" s="225"/>
      <c r="C29" s="226"/>
      <c r="D29" s="521"/>
      <c r="E29" s="521"/>
      <c r="F29" s="132" t="s">
        <v>1192</v>
      </c>
      <c r="G29" s="121">
        <v>100000</v>
      </c>
      <c r="H29" s="106" t="s">
        <v>277</v>
      </c>
      <c r="I29" s="107">
        <v>2</v>
      </c>
      <c r="J29" s="106" t="s">
        <v>277</v>
      </c>
      <c r="K29" s="108">
        <v>12</v>
      </c>
      <c r="L29" s="124"/>
      <c r="M29" s="110" t="s">
        <v>283</v>
      </c>
      <c r="N29" s="111">
        <f>ROUNDUP(G29*I29*K29,-3)</f>
        <v>2400000</v>
      </c>
      <c r="O29" s="235"/>
      <c r="P29" s="997"/>
      <c r="Q29" s="997"/>
      <c r="R29" s="246"/>
      <c r="T29" s="275"/>
    </row>
    <row r="30" spans="1:22" ht="14.45" customHeight="1">
      <c r="A30" s="224"/>
      <c r="B30" s="225"/>
      <c r="C30" s="226"/>
      <c r="D30" s="521"/>
      <c r="E30" s="521"/>
      <c r="F30" s="240" t="s">
        <v>1193</v>
      </c>
      <c r="G30" s="252"/>
      <c r="H30" s="240"/>
      <c r="I30" s="241"/>
      <c r="J30" s="240"/>
      <c r="K30" s="242"/>
      <c r="L30" s="250"/>
      <c r="M30" s="244"/>
      <c r="N30" s="251">
        <f>SUM(N31:N31)</f>
        <v>3480000</v>
      </c>
      <c r="O30" s="235"/>
      <c r="P30" s="997"/>
      <c r="Q30" s="997"/>
      <c r="R30" s="246"/>
      <c r="U30" s="275"/>
    </row>
    <row r="31" spans="1:22" ht="14.45" customHeight="1">
      <c r="A31" s="224"/>
      <c r="B31" s="225"/>
      <c r="C31" s="226"/>
      <c r="D31" s="521"/>
      <c r="E31" s="521"/>
      <c r="F31" s="998" t="s">
        <v>1194</v>
      </c>
      <c r="G31" s="252">
        <v>290000</v>
      </c>
      <c r="H31" s="240" t="s">
        <v>277</v>
      </c>
      <c r="I31" s="265">
        <v>1</v>
      </c>
      <c r="J31" s="240" t="s">
        <v>277</v>
      </c>
      <c r="K31" s="242">
        <v>12</v>
      </c>
      <c r="L31" s="250"/>
      <c r="M31" s="244" t="s">
        <v>283</v>
      </c>
      <c r="N31" s="245">
        <f>ROUNDUP(G31*I31*K31,-3)</f>
        <v>3480000</v>
      </c>
      <c r="O31" s="235"/>
      <c r="P31" s="997"/>
      <c r="Q31" s="997"/>
      <c r="R31" s="246"/>
    </row>
    <row r="32" spans="1:22" ht="14.45" customHeight="1">
      <c r="A32" s="224"/>
      <c r="B32" s="225"/>
      <c r="C32" s="226"/>
      <c r="D32" s="521"/>
      <c r="E32" s="521"/>
      <c r="F32" s="240" t="s">
        <v>367</v>
      </c>
      <c r="G32" s="252"/>
      <c r="H32" s="240"/>
      <c r="I32" s="265"/>
      <c r="J32" s="240"/>
      <c r="K32" s="242"/>
      <c r="L32" s="250"/>
      <c r="M32" s="244"/>
      <c r="N32" s="251">
        <f>SUM(N33:N33)</f>
        <v>24960000</v>
      </c>
      <c r="O32" s="235"/>
      <c r="P32" s="997"/>
      <c r="Q32" s="997"/>
      <c r="R32" s="246"/>
    </row>
    <row r="33" spans="1:20" ht="14.45" customHeight="1">
      <c r="A33" s="224"/>
      <c r="B33" s="225"/>
      <c r="C33" s="226"/>
      <c r="D33" s="521"/>
      <c r="E33" s="521"/>
      <c r="F33" s="998" t="s">
        <v>1195</v>
      </c>
      <c r="G33" s="252">
        <v>130000</v>
      </c>
      <c r="H33" s="240" t="s">
        <v>1175</v>
      </c>
      <c r="I33" s="241">
        <v>16</v>
      </c>
      <c r="J33" s="240" t="s">
        <v>277</v>
      </c>
      <c r="K33" s="242">
        <v>12</v>
      </c>
      <c r="L33" s="250"/>
      <c r="M33" s="244" t="s">
        <v>283</v>
      </c>
      <c r="N33" s="245">
        <f>ROUNDUP(G33*I33*K33,-3)</f>
        <v>24960000</v>
      </c>
      <c r="O33" s="235"/>
      <c r="P33" s="997"/>
      <c r="Q33" s="997"/>
      <c r="R33" s="246"/>
    </row>
    <row r="34" spans="1:20" ht="14.45" customHeight="1">
      <c r="A34" s="224"/>
      <c r="B34" s="225"/>
      <c r="C34" s="226"/>
      <c r="D34" s="521"/>
      <c r="E34" s="521"/>
      <c r="F34" s="240" t="s">
        <v>1196</v>
      </c>
      <c r="G34" s="252"/>
      <c r="H34" s="240"/>
      <c r="I34" s="265"/>
      <c r="J34" s="240"/>
      <c r="K34" s="242"/>
      <c r="L34" s="250"/>
      <c r="M34" s="244"/>
      <c r="N34" s="251">
        <f>SUM(N35:N35)</f>
        <v>2520000</v>
      </c>
      <c r="O34" s="235"/>
      <c r="P34" s="997"/>
      <c r="Q34" s="997"/>
      <c r="R34" s="246"/>
    </row>
    <row r="35" spans="1:20" ht="14.45" customHeight="1">
      <c r="A35" s="224"/>
      <c r="B35" s="225"/>
      <c r="C35" s="226"/>
      <c r="D35" s="521"/>
      <c r="E35" s="521"/>
      <c r="F35" s="998" t="s">
        <v>1197</v>
      </c>
      <c r="G35" s="252">
        <v>70000</v>
      </c>
      <c r="H35" s="240" t="s">
        <v>1175</v>
      </c>
      <c r="I35" s="241">
        <v>3</v>
      </c>
      <c r="J35" s="240" t="s">
        <v>277</v>
      </c>
      <c r="K35" s="242">
        <v>12</v>
      </c>
      <c r="L35" s="250"/>
      <c r="M35" s="244" t="s">
        <v>283</v>
      </c>
      <c r="N35" s="245">
        <f>ROUNDUP(G35*I35*K35,-3)</f>
        <v>2520000</v>
      </c>
      <c r="O35" s="235"/>
      <c r="P35" s="997"/>
      <c r="Q35" s="997"/>
      <c r="R35" s="246"/>
    </row>
    <row r="36" spans="1:20" ht="14.45" customHeight="1">
      <c r="A36" s="224"/>
      <c r="B36" s="225"/>
      <c r="C36" s="226"/>
      <c r="D36" s="521"/>
      <c r="E36" s="521"/>
      <c r="F36" s="240" t="s">
        <v>1198</v>
      </c>
      <c r="G36" s="252"/>
      <c r="H36" s="240"/>
      <c r="I36" s="265"/>
      <c r="J36" s="240"/>
      <c r="K36" s="242"/>
      <c r="L36" s="250"/>
      <c r="M36" s="244"/>
      <c r="N36" s="251">
        <f>SUM(N37:N37)</f>
        <v>600000</v>
      </c>
      <c r="O36" s="235"/>
      <c r="P36" s="997"/>
      <c r="Q36" s="997"/>
      <c r="R36" s="246"/>
    </row>
    <row r="37" spans="1:20" ht="14.45" customHeight="1">
      <c r="A37" s="224"/>
      <c r="B37" s="225"/>
      <c r="C37" s="226"/>
      <c r="D37" s="521"/>
      <c r="E37" s="521"/>
      <c r="F37" s="998" t="s">
        <v>1199</v>
      </c>
      <c r="G37" s="252">
        <v>50000</v>
      </c>
      <c r="H37" s="240" t="s">
        <v>277</v>
      </c>
      <c r="I37" s="241">
        <v>1</v>
      </c>
      <c r="J37" s="240" t="s">
        <v>277</v>
      </c>
      <c r="K37" s="242">
        <v>12</v>
      </c>
      <c r="L37" s="250"/>
      <c r="M37" s="244" t="s">
        <v>283</v>
      </c>
      <c r="N37" s="245">
        <f>ROUNDUP(G37*I37*K37,-3)</f>
        <v>600000</v>
      </c>
      <c r="O37" s="235"/>
      <c r="P37" s="997"/>
      <c r="Q37" s="997"/>
      <c r="R37" s="246"/>
    </row>
    <row r="38" spans="1:20" ht="14.45" customHeight="1">
      <c r="A38" s="224"/>
      <c r="B38" s="225"/>
      <c r="C38" s="226"/>
      <c r="D38" s="521"/>
      <c r="E38" s="521"/>
      <c r="F38" s="240" t="s">
        <v>1200</v>
      </c>
      <c r="G38" s="252"/>
      <c r="H38" s="240"/>
      <c r="I38" s="265"/>
      <c r="J38" s="240"/>
      <c r="K38" s="242"/>
      <c r="L38" s="250"/>
      <c r="M38" s="244"/>
      <c r="N38" s="251">
        <f>SUM(N39:N39)</f>
        <v>1200000</v>
      </c>
      <c r="O38" s="235"/>
      <c r="P38" s="997"/>
      <c r="Q38" s="997"/>
      <c r="R38" s="246"/>
    </row>
    <row r="39" spans="1:20" ht="14.45" customHeight="1">
      <c r="A39" s="576"/>
      <c r="B39" s="278"/>
      <c r="C39" s="279"/>
      <c r="D39" s="1116"/>
      <c r="E39" s="1116"/>
      <c r="F39" s="1023" t="s">
        <v>1201</v>
      </c>
      <c r="G39" s="579">
        <v>100000</v>
      </c>
      <c r="H39" s="283" t="s">
        <v>277</v>
      </c>
      <c r="I39" s="1118">
        <v>1</v>
      </c>
      <c r="J39" s="283" t="s">
        <v>277</v>
      </c>
      <c r="K39" s="284">
        <v>12</v>
      </c>
      <c r="L39" s="1394"/>
      <c r="M39" s="285" t="s">
        <v>283</v>
      </c>
      <c r="N39" s="286">
        <f>ROUNDUP(G39*I39*K39,-3)</f>
        <v>1200000</v>
      </c>
      <c r="O39" s="287"/>
      <c r="P39" s="1027"/>
      <c r="Q39" s="1027"/>
      <c r="R39" s="288"/>
    </row>
    <row r="40" spans="1:20" ht="14.45" customHeight="1">
      <c r="A40" s="224"/>
      <c r="B40" s="225"/>
      <c r="C40" s="226"/>
      <c r="D40" s="521"/>
      <c r="E40" s="521"/>
      <c r="F40" s="240" t="s">
        <v>511</v>
      </c>
      <c r="G40" s="252"/>
      <c r="H40" s="240"/>
      <c r="I40" s="241"/>
      <c r="J40" s="240"/>
      <c r="K40" s="242"/>
      <c r="L40" s="250"/>
      <c r="M40" s="244"/>
      <c r="N40" s="251">
        <f>SUM(N41:N41)</f>
        <v>31456000</v>
      </c>
      <c r="O40" s="235"/>
      <c r="P40" s="997"/>
      <c r="Q40" s="997"/>
      <c r="R40" s="246"/>
    </row>
    <row r="41" spans="1:20" ht="14.45" customHeight="1">
      <c r="A41" s="224"/>
      <c r="B41" s="225"/>
      <c r="C41" s="226"/>
      <c r="D41" s="521"/>
      <c r="E41" s="521"/>
      <c r="F41" s="998" t="s">
        <v>1202</v>
      </c>
      <c r="G41" s="252">
        <v>15728000</v>
      </c>
      <c r="H41" s="240" t="s">
        <v>277</v>
      </c>
      <c r="I41" s="265">
        <v>1</v>
      </c>
      <c r="J41" s="240" t="s">
        <v>277</v>
      </c>
      <c r="K41" s="256">
        <v>2</v>
      </c>
      <c r="L41" s="250"/>
      <c r="M41" s="244" t="s">
        <v>1176</v>
      </c>
      <c r="N41" s="245">
        <f>ROUNDUP(G41*I41*K41,-3)</f>
        <v>31456000</v>
      </c>
      <c r="O41" s="235"/>
      <c r="P41" s="997"/>
      <c r="Q41" s="997"/>
      <c r="R41" s="246"/>
    </row>
    <row r="42" spans="1:20" ht="14.45" customHeight="1">
      <c r="A42" s="224"/>
      <c r="B42" s="225"/>
      <c r="C42" s="226"/>
      <c r="D42" s="521"/>
      <c r="E42" s="521"/>
      <c r="F42" s="240" t="s">
        <v>379</v>
      </c>
      <c r="G42" s="249"/>
      <c r="H42" s="240"/>
      <c r="I42" s="240"/>
      <c r="J42" s="240"/>
      <c r="K42" s="240"/>
      <c r="L42" s="250"/>
      <c r="M42" s="244"/>
      <c r="N42" s="251">
        <f>SUM(N43:N43)</f>
        <v>16000000</v>
      </c>
      <c r="O42" s="235"/>
      <c r="P42" s="997"/>
      <c r="Q42" s="997"/>
      <c r="R42" s="246"/>
    </row>
    <row r="43" spans="1:20" ht="14.45" customHeight="1">
      <c r="A43" s="224"/>
      <c r="B43" s="225"/>
      <c r="C43" s="226"/>
      <c r="D43" s="521"/>
      <c r="E43" s="521"/>
      <c r="F43" s="998" t="s">
        <v>1203</v>
      </c>
      <c r="G43" s="252">
        <v>1000000</v>
      </c>
      <c r="H43" s="240" t="s">
        <v>277</v>
      </c>
      <c r="I43" s="241">
        <v>16</v>
      </c>
      <c r="J43" s="240" t="s">
        <v>109</v>
      </c>
      <c r="K43" s="1644">
        <v>1</v>
      </c>
      <c r="L43" s="250"/>
      <c r="M43" s="244" t="s">
        <v>1176</v>
      </c>
      <c r="N43" s="245">
        <f>ROUNDUP(G43*I43*K43,-3)</f>
        <v>16000000</v>
      </c>
      <c r="O43" s="235"/>
      <c r="P43" s="997"/>
      <c r="Q43" s="997"/>
      <c r="R43" s="246"/>
    </row>
    <row r="44" spans="1:20" ht="14.45" customHeight="1">
      <c r="A44" s="224"/>
      <c r="B44" s="225"/>
      <c r="C44" s="226"/>
      <c r="D44" s="521"/>
      <c r="E44" s="255" t="s">
        <v>1204</v>
      </c>
      <c r="F44" s="66"/>
      <c r="G44" s="228"/>
      <c r="H44" s="66"/>
      <c r="I44" s="66"/>
      <c r="J44" s="66"/>
      <c r="K44" s="66"/>
      <c r="L44" s="229"/>
      <c r="M44" s="230"/>
      <c r="N44" s="66"/>
      <c r="O44" s="171">
        <f>ROUNDUP(N45+N47,-3)</f>
        <v>40800000</v>
      </c>
      <c r="P44" s="171">
        <v>78600000</v>
      </c>
      <c r="Q44" s="171">
        <f>+O44-P44</f>
        <v>-37800000</v>
      </c>
      <c r="R44" s="172">
        <f>+Q44/P44</f>
        <v>-0.48091603053435117</v>
      </c>
    </row>
    <row r="45" spans="1:20" ht="14.45" customHeight="1">
      <c r="A45" s="224"/>
      <c r="B45" s="225"/>
      <c r="C45" s="226"/>
      <c r="D45" s="521"/>
      <c r="E45" s="521"/>
      <c r="F45" s="240" t="s">
        <v>1205</v>
      </c>
      <c r="G45" s="249"/>
      <c r="H45" s="240"/>
      <c r="I45" s="240"/>
      <c r="J45" s="240"/>
      <c r="K45" s="240"/>
      <c r="L45" s="250"/>
      <c r="M45" s="244"/>
      <c r="N45" s="251">
        <f>SUM(N46)</f>
        <v>20400000</v>
      </c>
      <c r="O45" s="235"/>
      <c r="P45" s="997"/>
      <c r="Q45" s="997"/>
      <c r="R45" s="246"/>
    </row>
    <row r="46" spans="1:20" ht="14.45" customHeight="1">
      <c r="A46" s="224"/>
      <c r="B46" s="225"/>
      <c r="C46" s="226"/>
      <c r="D46" s="521"/>
      <c r="E46" s="521"/>
      <c r="F46" s="998" t="s">
        <v>1206</v>
      </c>
      <c r="G46" s="239">
        <v>1700000</v>
      </c>
      <c r="H46" s="240" t="s">
        <v>277</v>
      </c>
      <c r="I46" s="241">
        <v>1</v>
      </c>
      <c r="J46" s="240" t="s">
        <v>109</v>
      </c>
      <c r="K46" s="242">
        <v>12</v>
      </c>
      <c r="L46" s="243"/>
      <c r="M46" s="244" t="s">
        <v>1176</v>
      </c>
      <c r="N46" s="245">
        <f>ROUNDUP(G46*I46*K46,-3)</f>
        <v>20400000</v>
      </c>
      <c r="O46" s="235"/>
      <c r="P46" s="997"/>
      <c r="Q46" s="997"/>
      <c r="R46" s="246"/>
    </row>
    <row r="47" spans="1:20" ht="14.45" customHeight="1">
      <c r="A47" s="224"/>
      <c r="B47" s="225"/>
      <c r="C47" s="226"/>
      <c r="D47" s="521"/>
      <c r="E47" s="521"/>
      <c r="F47" s="240" t="s">
        <v>1207</v>
      </c>
      <c r="G47" s="249"/>
      <c r="H47" s="240"/>
      <c r="I47" s="240"/>
      <c r="J47" s="240"/>
      <c r="K47" s="240"/>
      <c r="L47" s="250"/>
      <c r="M47" s="244"/>
      <c r="N47" s="251">
        <f>SUM(N48)</f>
        <v>20400000</v>
      </c>
      <c r="O47" s="235"/>
      <c r="P47" s="997"/>
      <c r="Q47" s="997"/>
      <c r="R47" s="246"/>
    </row>
    <row r="48" spans="1:20" ht="14.45" customHeight="1">
      <c r="A48" s="224"/>
      <c r="B48" s="225"/>
      <c r="C48" s="226"/>
      <c r="D48" s="521"/>
      <c r="E48" s="521"/>
      <c r="F48" s="998" t="s">
        <v>1208</v>
      </c>
      <c r="G48" s="239">
        <v>1700000</v>
      </c>
      <c r="H48" s="240" t="s">
        <v>1175</v>
      </c>
      <c r="I48" s="241">
        <v>1</v>
      </c>
      <c r="J48" s="240" t="s">
        <v>109</v>
      </c>
      <c r="K48" s="242">
        <v>12</v>
      </c>
      <c r="L48" s="243"/>
      <c r="M48" s="244" t="s">
        <v>1176</v>
      </c>
      <c r="N48" s="245">
        <f>ROUNDUP(G48*I48*K48,-3)</f>
        <v>20400000</v>
      </c>
      <c r="O48" s="235"/>
      <c r="P48" s="997"/>
      <c r="Q48" s="997"/>
      <c r="R48" s="246"/>
      <c r="T48" s="275"/>
    </row>
    <row r="49" spans="1:21" ht="14.45" customHeight="1">
      <c r="A49" s="224"/>
      <c r="B49" s="225"/>
      <c r="C49" s="226"/>
      <c r="D49" s="521"/>
      <c r="E49" s="255" t="s">
        <v>1209</v>
      </c>
      <c r="F49" s="66"/>
      <c r="G49" s="228"/>
      <c r="H49" s="66"/>
      <c r="I49" s="66"/>
      <c r="J49" s="66"/>
      <c r="K49" s="66"/>
      <c r="L49" s="229"/>
      <c r="M49" s="230"/>
      <c r="N49" s="66"/>
      <c r="O49" s="171">
        <f>ROUNDUP(N50,-3)</f>
        <v>44042000</v>
      </c>
      <c r="P49" s="171">
        <v>42000000</v>
      </c>
      <c r="Q49" s="171">
        <f>+O49-P49</f>
        <v>2042000</v>
      </c>
      <c r="R49" s="172">
        <f>+Q49/P49</f>
        <v>4.8619047619047617E-2</v>
      </c>
      <c r="U49" s="275"/>
    </row>
    <row r="50" spans="1:21" ht="14.45" customHeight="1">
      <c r="A50" s="224"/>
      <c r="B50" s="225"/>
      <c r="C50" s="226"/>
      <c r="D50" s="521"/>
      <c r="E50" s="521"/>
      <c r="F50" s="240" t="s">
        <v>380</v>
      </c>
      <c r="G50" s="249"/>
      <c r="H50" s="240"/>
      <c r="I50" s="240"/>
      <c r="J50" s="240"/>
      <c r="K50" s="240"/>
      <c r="L50" s="250"/>
      <c r="M50" s="244"/>
      <c r="N50" s="251">
        <f>SUM(N51:N51)</f>
        <v>44042000</v>
      </c>
      <c r="O50" s="235"/>
      <c r="P50" s="997"/>
      <c r="Q50" s="997"/>
      <c r="R50" s="246"/>
    </row>
    <row r="51" spans="1:21" ht="14.45" customHeight="1">
      <c r="A51" s="224"/>
      <c r="B51" s="225"/>
      <c r="C51" s="1029"/>
      <c r="D51" s="521"/>
      <c r="E51" s="521"/>
      <c r="F51" s="998" t="s">
        <v>1210</v>
      </c>
      <c r="G51" s="252">
        <v>528491000</v>
      </c>
      <c r="H51" s="240" t="s">
        <v>1175</v>
      </c>
      <c r="I51" s="1998">
        <v>12</v>
      </c>
      <c r="J51" s="1998"/>
      <c r="K51" s="242"/>
      <c r="L51" s="243"/>
      <c r="M51" s="244" t="s">
        <v>283</v>
      </c>
      <c r="N51" s="245">
        <f>ROUNDUP((G51/12),-3)+1000</f>
        <v>44042000</v>
      </c>
      <c r="O51" s="235"/>
      <c r="P51" s="997"/>
      <c r="Q51" s="997"/>
      <c r="R51" s="246"/>
    </row>
    <row r="52" spans="1:21" ht="14.45" customHeight="1">
      <c r="A52" s="224"/>
      <c r="B52" s="225"/>
      <c r="C52" s="226"/>
      <c r="D52" s="1645" t="s">
        <v>382</v>
      </c>
      <c r="E52" s="1646"/>
      <c r="F52" s="1647"/>
      <c r="G52" s="1648"/>
      <c r="H52" s="1647"/>
      <c r="I52" s="1647"/>
      <c r="J52" s="1647"/>
      <c r="K52" s="1647"/>
      <c r="L52" s="1649"/>
      <c r="M52" s="1650"/>
      <c r="N52" s="1647"/>
      <c r="O52" s="1651">
        <f>SUM(O53:O75)</f>
        <v>247567000</v>
      </c>
      <c r="P52" s="1651">
        <f>SUM(P53:P75)</f>
        <v>153500000</v>
      </c>
      <c r="Q52" s="1651">
        <f>+O52-P52</f>
        <v>94067000</v>
      </c>
      <c r="R52" s="1652">
        <f>+Q52/P52</f>
        <v>0.61281433224755699</v>
      </c>
      <c r="U52" s="275"/>
    </row>
    <row r="53" spans="1:21" ht="14.45" customHeight="1">
      <c r="A53" s="224"/>
      <c r="B53" s="225"/>
      <c r="C53" s="226"/>
      <c r="D53" s="521"/>
      <c r="E53" s="1112" t="s">
        <v>1211</v>
      </c>
      <c r="F53" s="363"/>
      <c r="G53" s="365"/>
      <c r="H53" s="363"/>
      <c r="I53" s="363"/>
      <c r="J53" s="363"/>
      <c r="K53" s="363"/>
      <c r="L53" s="366"/>
      <c r="M53" s="367"/>
      <c r="N53" s="363"/>
      <c r="O53" s="188">
        <f>ROUNDUP(N54,-3)</f>
        <v>49244000</v>
      </c>
      <c r="P53" s="188">
        <v>46960000</v>
      </c>
      <c r="Q53" s="188">
        <f>+O53-P53</f>
        <v>2284000</v>
      </c>
      <c r="R53" s="570">
        <f>+Q53/P53</f>
        <v>4.8637137989778534E-2</v>
      </c>
    </row>
    <row r="54" spans="1:21" ht="14.45" customHeight="1">
      <c r="A54" s="224"/>
      <c r="B54" s="225"/>
      <c r="C54" s="226"/>
      <c r="D54" s="521"/>
      <c r="E54" s="521"/>
      <c r="F54" s="240" t="s">
        <v>1212</v>
      </c>
      <c r="G54" s="249"/>
      <c r="H54" s="240"/>
      <c r="I54" s="240"/>
      <c r="J54" s="240"/>
      <c r="K54" s="240"/>
      <c r="L54" s="250"/>
      <c r="M54" s="244"/>
      <c r="N54" s="251">
        <f>SUM(N55:N59)</f>
        <v>49244000</v>
      </c>
      <c r="O54" s="235"/>
      <c r="P54" s="997"/>
      <c r="Q54" s="997"/>
      <c r="R54" s="246"/>
      <c r="T54" s="275"/>
    </row>
    <row r="55" spans="1:21" ht="14.45" customHeight="1">
      <c r="A55" s="224"/>
      <c r="B55" s="225"/>
      <c r="C55" s="226"/>
      <c r="D55" s="521"/>
      <c r="E55" s="521"/>
      <c r="F55" s="998" t="s">
        <v>1213</v>
      </c>
      <c r="G55" s="252">
        <v>528491000</v>
      </c>
      <c r="H55" s="240" t="s">
        <v>1175</v>
      </c>
      <c r="I55" s="1993">
        <v>4.4999999999999998E-2</v>
      </c>
      <c r="J55" s="1993"/>
      <c r="K55" s="242"/>
      <c r="L55" s="243"/>
      <c r="M55" s="244" t="s">
        <v>1176</v>
      </c>
      <c r="N55" s="245">
        <f>ROUNDUP(G55*I55,-3)</f>
        <v>23783000</v>
      </c>
      <c r="O55" s="235"/>
      <c r="P55" s="997"/>
      <c r="Q55" s="997"/>
      <c r="R55" s="246"/>
    </row>
    <row r="56" spans="1:21" ht="14.45" customHeight="1">
      <c r="A56" s="224"/>
      <c r="B56" s="225"/>
      <c r="C56" s="226"/>
      <c r="D56" s="521"/>
      <c r="E56" s="521"/>
      <c r="F56" s="1653" t="s">
        <v>1214</v>
      </c>
      <c r="G56" s="252">
        <v>528491000</v>
      </c>
      <c r="H56" s="240" t="s">
        <v>1175</v>
      </c>
      <c r="I56" s="1993">
        <v>3.1E-2</v>
      </c>
      <c r="J56" s="1993"/>
      <c r="K56" s="242"/>
      <c r="L56" s="243"/>
      <c r="M56" s="244" t="s">
        <v>1176</v>
      </c>
      <c r="N56" s="245">
        <f>ROUNDUP(G56*I56,-3)</f>
        <v>16384000</v>
      </c>
      <c r="O56" s="235"/>
      <c r="P56" s="997"/>
      <c r="Q56" s="997"/>
      <c r="R56" s="246"/>
    </row>
    <row r="57" spans="1:21" ht="14.45" customHeight="1">
      <c r="A57" s="224"/>
      <c r="B57" s="225"/>
      <c r="C57" s="226"/>
      <c r="D57" s="521"/>
      <c r="E57" s="521"/>
      <c r="F57" s="1653" t="s">
        <v>385</v>
      </c>
      <c r="G57" s="252">
        <v>16384000</v>
      </c>
      <c r="H57" s="240" t="s">
        <v>1175</v>
      </c>
      <c r="I57" s="1993">
        <v>7.0099999999999996E-2</v>
      </c>
      <c r="J57" s="1993"/>
      <c r="K57" s="242"/>
      <c r="L57" s="243"/>
      <c r="M57" s="244" t="s">
        <v>1176</v>
      </c>
      <c r="N57" s="245">
        <f>ROUNDUP(G57*I57,-3)</f>
        <v>1149000</v>
      </c>
      <c r="O57" s="235"/>
      <c r="P57" s="997"/>
      <c r="Q57" s="997"/>
      <c r="R57" s="246"/>
    </row>
    <row r="58" spans="1:21" ht="14.45" customHeight="1">
      <c r="A58" s="224"/>
      <c r="B58" s="225"/>
      <c r="C58" s="226"/>
      <c r="D58" s="521"/>
      <c r="E58" s="521"/>
      <c r="F58" s="1653" t="s">
        <v>1215</v>
      </c>
      <c r="G58" s="252">
        <v>528491000</v>
      </c>
      <c r="H58" s="240" t="s">
        <v>1175</v>
      </c>
      <c r="I58" s="1993">
        <v>8.9999999999999993E-3</v>
      </c>
      <c r="J58" s="1993"/>
      <c r="K58" s="242"/>
      <c r="L58" s="243"/>
      <c r="M58" s="244" t="s">
        <v>1176</v>
      </c>
      <c r="N58" s="245">
        <f>ROUNDUP(G58*I58,-3)</f>
        <v>4757000</v>
      </c>
      <c r="O58" s="235"/>
      <c r="P58" s="997"/>
      <c r="Q58" s="997"/>
      <c r="R58" s="246"/>
      <c r="U58" s="275"/>
    </row>
    <row r="59" spans="1:21" ht="14.45" customHeight="1">
      <c r="A59" s="224"/>
      <c r="B59" s="225"/>
      <c r="C59" s="226"/>
      <c r="D59" s="521"/>
      <c r="E59" s="521"/>
      <c r="F59" s="1653" t="s">
        <v>1216</v>
      </c>
      <c r="G59" s="252">
        <v>528491000</v>
      </c>
      <c r="H59" s="240" t="s">
        <v>1175</v>
      </c>
      <c r="I59" s="1993">
        <v>6.0000000000000001E-3</v>
      </c>
      <c r="J59" s="1993"/>
      <c r="K59" s="242"/>
      <c r="L59" s="243"/>
      <c r="M59" s="244" t="s">
        <v>1176</v>
      </c>
      <c r="N59" s="245">
        <f>ROUNDUP(G59*I59,-3)</f>
        <v>3171000</v>
      </c>
      <c r="O59" s="235"/>
      <c r="P59" s="997"/>
      <c r="Q59" s="997"/>
      <c r="R59" s="246"/>
    </row>
    <row r="60" spans="1:21" ht="14.45" customHeight="1">
      <c r="A60" s="224"/>
      <c r="B60" s="225"/>
      <c r="C60" s="226"/>
      <c r="D60" s="521"/>
      <c r="E60" s="255" t="s">
        <v>1217</v>
      </c>
      <c r="F60" s="66"/>
      <c r="G60" s="228"/>
      <c r="H60" s="66"/>
      <c r="I60" s="66"/>
      <c r="J60" s="66"/>
      <c r="K60" s="66"/>
      <c r="L60" s="229"/>
      <c r="M60" s="230"/>
      <c r="N60" s="66"/>
      <c r="O60" s="171">
        <f>ROUNDUP(N61,-3)</f>
        <v>10380000</v>
      </c>
      <c r="P60" s="171">
        <v>9740000</v>
      </c>
      <c r="Q60" s="171">
        <f>+O60-P60</f>
        <v>640000</v>
      </c>
      <c r="R60" s="172">
        <f>+Q60/P60</f>
        <v>6.5708418891170434E-2</v>
      </c>
      <c r="T60" s="275"/>
    </row>
    <row r="61" spans="1:21" ht="14.45" customHeight="1">
      <c r="A61" s="224"/>
      <c r="B61" s="225"/>
      <c r="C61" s="226"/>
      <c r="D61" s="521"/>
      <c r="E61" s="521"/>
      <c r="F61" s="240" t="s">
        <v>1218</v>
      </c>
      <c r="G61" s="249"/>
      <c r="H61" s="240"/>
      <c r="I61" s="240"/>
      <c r="J61" s="240"/>
      <c r="K61" s="240"/>
      <c r="L61" s="250"/>
      <c r="M61" s="244"/>
      <c r="N61" s="251">
        <f>SUM(N62:N64)</f>
        <v>10380000</v>
      </c>
      <c r="O61" s="235"/>
      <c r="P61" s="997"/>
      <c r="Q61" s="997"/>
      <c r="R61" s="246"/>
    </row>
    <row r="62" spans="1:21" ht="14.45" customHeight="1">
      <c r="A62" s="224"/>
      <c r="B62" s="225"/>
      <c r="C62" s="226"/>
      <c r="D62" s="521"/>
      <c r="E62" s="521"/>
      <c r="F62" s="998" t="s">
        <v>1219</v>
      </c>
      <c r="G62" s="252">
        <v>500000</v>
      </c>
      <c r="H62" s="240" t="s">
        <v>1175</v>
      </c>
      <c r="I62" s="242">
        <v>12</v>
      </c>
      <c r="J62" s="240"/>
      <c r="K62" s="242"/>
      <c r="L62" s="243"/>
      <c r="M62" s="244" t="s">
        <v>1176</v>
      </c>
      <c r="N62" s="245">
        <f>ROUNDUP(G62*I62,-3)</f>
        <v>6000000</v>
      </c>
      <c r="O62" s="235"/>
      <c r="P62" s="997"/>
      <c r="Q62" s="997"/>
      <c r="R62" s="246"/>
    </row>
    <row r="63" spans="1:21" ht="14.45" customHeight="1">
      <c r="A63" s="224"/>
      <c r="B63" s="225"/>
      <c r="C63" s="226"/>
      <c r="D63" s="521"/>
      <c r="E63" s="521"/>
      <c r="F63" s="998" t="s">
        <v>1220</v>
      </c>
      <c r="G63" s="252">
        <v>300000</v>
      </c>
      <c r="H63" s="240" t="s">
        <v>1175</v>
      </c>
      <c r="I63" s="242">
        <v>12</v>
      </c>
      <c r="J63" s="240"/>
      <c r="K63" s="242"/>
      <c r="L63" s="243"/>
      <c r="M63" s="244" t="s">
        <v>1176</v>
      </c>
      <c r="N63" s="245">
        <f>ROUNDUP(G63*I63,-3)</f>
        <v>3600000</v>
      </c>
      <c r="O63" s="235"/>
      <c r="P63" s="997"/>
      <c r="Q63" s="997"/>
      <c r="R63" s="246"/>
    </row>
    <row r="64" spans="1:21" ht="14.45" customHeight="1">
      <c r="A64" s="224"/>
      <c r="B64" s="225"/>
      <c r="C64" s="226"/>
      <c r="D64" s="521"/>
      <c r="E64" s="521"/>
      <c r="F64" s="998" t="s">
        <v>1221</v>
      </c>
      <c r="G64" s="252">
        <v>65000</v>
      </c>
      <c r="H64" s="240" t="s">
        <v>1175</v>
      </c>
      <c r="I64" s="242">
        <v>12</v>
      </c>
      <c r="J64" s="240"/>
      <c r="K64" s="242"/>
      <c r="L64" s="243"/>
      <c r="M64" s="244" t="s">
        <v>1176</v>
      </c>
      <c r="N64" s="245">
        <f>ROUNDUP(G64*I64,-3)</f>
        <v>780000</v>
      </c>
      <c r="O64" s="235"/>
      <c r="P64" s="997"/>
      <c r="Q64" s="997"/>
      <c r="R64" s="246"/>
      <c r="U64" s="275"/>
    </row>
    <row r="65" spans="1:21" ht="14.45" customHeight="1">
      <c r="A65" s="224"/>
      <c r="B65" s="225"/>
      <c r="C65" s="226"/>
      <c r="D65" s="521"/>
      <c r="E65" s="255" t="s">
        <v>1222</v>
      </c>
      <c r="F65" s="66"/>
      <c r="G65" s="228"/>
      <c r="H65" s="66"/>
      <c r="I65" s="66"/>
      <c r="J65" s="66"/>
      <c r="K65" s="66"/>
      <c r="L65" s="229"/>
      <c r="M65" s="230"/>
      <c r="N65" s="66"/>
      <c r="O65" s="171">
        <f>ROUNDUP(N66+N68+N70,-3)</f>
        <v>112200000</v>
      </c>
      <c r="P65" s="171">
        <v>91800000</v>
      </c>
      <c r="Q65" s="171">
        <f>+O65-P65</f>
        <v>20400000</v>
      </c>
      <c r="R65" s="172">
        <f>+Q65/P65</f>
        <v>0.22222222222222221</v>
      </c>
      <c r="T65" s="275"/>
    </row>
    <row r="66" spans="1:21" ht="14.45" customHeight="1">
      <c r="A66" s="224"/>
      <c r="B66" s="225"/>
      <c r="C66" s="226"/>
      <c r="D66" s="521"/>
      <c r="E66" s="521"/>
      <c r="F66" s="240" t="s">
        <v>1223</v>
      </c>
      <c r="G66" s="249"/>
      <c r="H66" s="240"/>
      <c r="I66" s="240"/>
      <c r="J66" s="240"/>
      <c r="K66" s="240"/>
      <c r="L66" s="250"/>
      <c r="M66" s="244"/>
      <c r="N66" s="251">
        <f>SUM(N67)</f>
        <v>54000000</v>
      </c>
      <c r="O66" s="235"/>
      <c r="P66" s="997"/>
      <c r="Q66" s="997"/>
      <c r="R66" s="246"/>
    </row>
    <row r="67" spans="1:21" ht="14.45" customHeight="1">
      <c r="A67" s="224"/>
      <c r="B67" s="225"/>
      <c r="C67" s="226"/>
      <c r="D67" s="521"/>
      <c r="E67" s="521"/>
      <c r="F67" s="998" t="s">
        <v>1224</v>
      </c>
      <c r="G67" s="252">
        <v>4500000</v>
      </c>
      <c r="H67" s="240" t="s">
        <v>277</v>
      </c>
      <c r="I67" s="242">
        <v>12</v>
      </c>
      <c r="J67" s="240"/>
      <c r="K67" s="242"/>
      <c r="L67" s="243"/>
      <c r="M67" s="244" t="s">
        <v>283</v>
      </c>
      <c r="N67" s="245">
        <f>G67*I67</f>
        <v>54000000</v>
      </c>
      <c r="O67" s="235"/>
      <c r="P67" s="997"/>
      <c r="Q67" s="997"/>
      <c r="R67" s="246"/>
    </row>
    <row r="68" spans="1:21" ht="14.45" customHeight="1">
      <c r="A68" s="224"/>
      <c r="B68" s="225"/>
      <c r="C68" s="226"/>
      <c r="D68" s="521"/>
      <c r="E68" s="521"/>
      <c r="F68" s="240" t="s">
        <v>1225</v>
      </c>
      <c r="G68" s="249"/>
      <c r="H68" s="240"/>
      <c r="I68" s="242"/>
      <c r="J68" s="240"/>
      <c r="K68" s="240"/>
      <c r="L68" s="250"/>
      <c r="M68" s="244"/>
      <c r="N68" s="251">
        <f>SUM(N69)</f>
        <v>48000000</v>
      </c>
      <c r="O68" s="235"/>
      <c r="P68" s="997"/>
      <c r="Q68" s="997"/>
      <c r="R68" s="246"/>
      <c r="U68" s="275"/>
    </row>
    <row r="69" spans="1:21" ht="14.45" customHeight="1">
      <c r="A69" s="224"/>
      <c r="B69" s="225"/>
      <c r="C69" s="226"/>
      <c r="D69" s="521"/>
      <c r="E69" s="521"/>
      <c r="F69" s="998" t="s">
        <v>1226</v>
      </c>
      <c r="G69" s="252">
        <v>4000000</v>
      </c>
      <c r="H69" s="240" t="s">
        <v>1175</v>
      </c>
      <c r="I69" s="242">
        <v>12</v>
      </c>
      <c r="J69" s="240"/>
      <c r="K69" s="242"/>
      <c r="L69" s="243"/>
      <c r="M69" s="244" t="s">
        <v>1176</v>
      </c>
      <c r="N69" s="245">
        <f>G69*I69</f>
        <v>48000000</v>
      </c>
      <c r="O69" s="235"/>
      <c r="P69" s="997"/>
      <c r="Q69" s="997"/>
      <c r="R69" s="246"/>
    </row>
    <row r="70" spans="1:21" ht="14.45" customHeight="1">
      <c r="A70" s="224"/>
      <c r="B70" s="225"/>
      <c r="C70" s="226"/>
      <c r="D70" s="521"/>
      <c r="E70" s="521"/>
      <c r="F70" s="240" t="s">
        <v>999</v>
      </c>
      <c r="G70" s="249"/>
      <c r="H70" s="240"/>
      <c r="I70" s="242"/>
      <c r="J70" s="240"/>
      <c r="K70" s="240"/>
      <c r="L70" s="250"/>
      <c r="M70" s="244"/>
      <c r="N70" s="251">
        <f>SUM(N71)</f>
        <v>10200000</v>
      </c>
      <c r="O70" s="235"/>
      <c r="P70" s="997"/>
      <c r="Q70" s="997"/>
      <c r="R70" s="246"/>
      <c r="U70" s="275"/>
    </row>
    <row r="71" spans="1:21" ht="14.45" customHeight="1">
      <c r="A71" s="224"/>
      <c r="B71" s="225"/>
      <c r="C71" s="226"/>
      <c r="D71" s="521"/>
      <c r="E71" s="521"/>
      <c r="F71" s="998" t="s">
        <v>1000</v>
      </c>
      <c r="G71" s="252">
        <v>850000</v>
      </c>
      <c r="H71" s="240" t="s">
        <v>1175</v>
      </c>
      <c r="I71" s="242">
        <v>12</v>
      </c>
      <c r="J71" s="240"/>
      <c r="K71" s="242"/>
      <c r="L71" s="243"/>
      <c r="M71" s="244" t="s">
        <v>283</v>
      </c>
      <c r="N71" s="245">
        <f>G71*I71</f>
        <v>10200000</v>
      </c>
      <c r="O71" s="235"/>
      <c r="P71" s="997"/>
      <c r="Q71" s="997"/>
      <c r="R71" s="246"/>
    </row>
    <row r="72" spans="1:21" ht="14.45" customHeight="1">
      <c r="A72" s="224"/>
      <c r="B72" s="225"/>
      <c r="C72" s="226"/>
      <c r="D72" s="521"/>
      <c r="E72" s="255" t="s">
        <v>1227</v>
      </c>
      <c r="F72" s="66"/>
      <c r="G72" s="228"/>
      <c r="H72" s="66"/>
      <c r="I72" s="66"/>
      <c r="J72" s="66"/>
      <c r="K72" s="66"/>
      <c r="L72" s="229"/>
      <c r="M72" s="230"/>
      <c r="N72" s="66"/>
      <c r="O72" s="171">
        <f>ROUNDUP(N73,-3)</f>
        <v>22943000</v>
      </c>
      <c r="P72" s="171">
        <v>5000000</v>
      </c>
      <c r="Q72" s="171">
        <f>+O72-P72</f>
        <v>17943000</v>
      </c>
      <c r="R72" s="172">
        <f>+Q72/P72</f>
        <v>3.5886</v>
      </c>
    </row>
    <row r="73" spans="1:21" ht="14.45" customHeight="1">
      <c r="A73" s="224"/>
      <c r="B73" s="225"/>
      <c r="C73" s="226"/>
      <c r="D73" s="521"/>
      <c r="E73" s="521"/>
      <c r="F73" s="240" t="s">
        <v>1228</v>
      </c>
      <c r="G73" s="249"/>
      <c r="H73" s="240"/>
      <c r="I73" s="240"/>
      <c r="J73" s="240"/>
      <c r="K73" s="240"/>
      <c r="L73" s="250"/>
      <c r="M73" s="244"/>
      <c r="N73" s="251">
        <f>SUM(N74:N74)</f>
        <v>22943000</v>
      </c>
      <c r="O73" s="235"/>
      <c r="P73" s="997"/>
      <c r="Q73" s="997"/>
      <c r="R73" s="246"/>
    </row>
    <row r="74" spans="1:21" ht="14.45" customHeight="1">
      <c r="A74" s="224"/>
      <c r="B74" s="225"/>
      <c r="C74" s="226"/>
      <c r="D74" s="521"/>
      <c r="E74" s="521"/>
      <c r="F74" s="998" t="s">
        <v>1229</v>
      </c>
      <c r="G74" s="252">
        <v>22943000</v>
      </c>
      <c r="H74" s="240" t="s">
        <v>1175</v>
      </c>
      <c r="I74" s="265">
        <v>1</v>
      </c>
      <c r="J74" s="240"/>
      <c r="K74" s="242"/>
      <c r="L74" s="243"/>
      <c r="M74" s="244" t="s">
        <v>1176</v>
      </c>
      <c r="N74" s="245">
        <f>G74*I74</f>
        <v>22943000</v>
      </c>
      <c r="O74" s="235"/>
      <c r="P74" s="997"/>
      <c r="Q74" s="997"/>
      <c r="R74" s="246"/>
    </row>
    <row r="75" spans="1:21" ht="14.45" customHeight="1">
      <c r="A75" s="224"/>
      <c r="B75" s="225"/>
      <c r="C75" s="226"/>
      <c r="D75" s="521"/>
      <c r="E75" s="255" t="s">
        <v>1230</v>
      </c>
      <c r="F75" s="66"/>
      <c r="G75" s="228"/>
      <c r="H75" s="66"/>
      <c r="I75" s="66"/>
      <c r="J75" s="66"/>
      <c r="K75" s="66"/>
      <c r="L75" s="229"/>
      <c r="M75" s="230"/>
      <c r="N75" s="66"/>
      <c r="O75" s="171">
        <f>ROUNDUP(N76,-3)</f>
        <v>52800000</v>
      </c>
      <c r="P75" s="171">
        <v>0</v>
      </c>
      <c r="Q75" s="171">
        <f>+O75-P75</f>
        <v>52800000</v>
      </c>
      <c r="R75" s="172">
        <v>1</v>
      </c>
    </row>
    <row r="76" spans="1:21" ht="14.45" customHeight="1">
      <c r="A76" s="224"/>
      <c r="B76" s="225"/>
      <c r="C76" s="226"/>
      <c r="D76" s="521"/>
      <c r="E76" s="1654"/>
      <c r="F76" s="106" t="s">
        <v>1231</v>
      </c>
      <c r="G76" s="123"/>
      <c r="H76" s="106"/>
      <c r="I76" s="106"/>
      <c r="J76" s="106"/>
      <c r="K76" s="106"/>
      <c r="L76" s="124"/>
      <c r="M76" s="110"/>
      <c r="N76" s="125">
        <f>SUM(N77:N77)</f>
        <v>52800000</v>
      </c>
      <c r="O76" s="235"/>
      <c r="P76" s="997"/>
      <c r="Q76" s="997"/>
      <c r="R76" s="246"/>
    </row>
    <row r="77" spans="1:21" ht="14.45" customHeight="1">
      <c r="A77" s="576"/>
      <c r="B77" s="278"/>
      <c r="C77" s="279"/>
      <c r="D77" s="1116"/>
      <c r="E77" s="1655"/>
      <c r="F77" s="940" t="s">
        <v>1232</v>
      </c>
      <c r="G77" s="161">
        <v>2200000</v>
      </c>
      <c r="H77" s="162" t="s">
        <v>1175</v>
      </c>
      <c r="I77" s="941">
        <v>2</v>
      </c>
      <c r="J77" s="162" t="s">
        <v>109</v>
      </c>
      <c r="K77" s="163">
        <v>12</v>
      </c>
      <c r="L77" s="164"/>
      <c r="M77" s="165" t="s">
        <v>1176</v>
      </c>
      <c r="N77" s="166">
        <f>G77*I77*K77</f>
        <v>52800000</v>
      </c>
      <c r="O77" s="287"/>
      <c r="P77" s="1027"/>
      <c r="Q77" s="1027"/>
      <c r="R77" s="288"/>
    </row>
    <row r="78" spans="1:21" ht="14.1" customHeight="1">
      <c r="A78" s="224"/>
      <c r="B78" s="222"/>
      <c r="C78" s="206" t="s">
        <v>1233</v>
      </c>
      <c r="D78" s="1381"/>
      <c r="E78" s="1381"/>
      <c r="F78" s="209"/>
      <c r="G78" s="208"/>
      <c r="H78" s="209"/>
      <c r="I78" s="209"/>
      <c r="J78" s="209"/>
      <c r="K78" s="209"/>
      <c r="L78" s="581"/>
      <c r="M78" s="210"/>
      <c r="N78" s="209"/>
      <c r="O78" s="1656">
        <f>O79+O83</f>
        <v>0</v>
      </c>
      <c r="P78" s="1656">
        <f>P79+P83</f>
        <v>32000000</v>
      </c>
      <c r="Q78" s="1052">
        <f t="shared" ref="Q78:Q84" si="1">+O78-P78</f>
        <v>-32000000</v>
      </c>
      <c r="R78" s="212">
        <f>+Q78/P78</f>
        <v>-1</v>
      </c>
    </row>
    <row r="79" spans="1:21" ht="14.1" customHeight="1">
      <c r="A79" s="224"/>
      <c r="B79" s="222"/>
      <c r="C79" s="223"/>
      <c r="D79" s="394" t="s">
        <v>1234</v>
      </c>
      <c r="E79" s="394"/>
      <c r="F79" s="84"/>
      <c r="G79" s="86"/>
      <c r="H79" s="84"/>
      <c r="I79" s="84"/>
      <c r="J79" s="84"/>
      <c r="K79" s="84"/>
      <c r="L79" s="83"/>
      <c r="M79" s="87"/>
      <c r="N79" s="84"/>
      <c r="O79" s="76">
        <f>ROUNDUP(O80+O81+O82,-3)</f>
        <v>0</v>
      </c>
      <c r="P79" s="76">
        <f>ROUNDUP(P80+P81+P82,-3)</f>
        <v>0</v>
      </c>
      <c r="Q79" s="76">
        <f t="shared" si="1"/>
        <v>0</v>
      </c>
      <c r="R79" s="77">
        <v>0</v>
      </c>
    </row>
    <row r="80" spans="1:21" ht="14.1" customHeight="1">
      <c r="A80" s="224"/>
      <c r="B80" s="222"/>
      <c r="C80" s="223"/>
      <c r="D80" s="1126"/>
      <c r="E80" s="255" t="s">
        <v>1235</v>
      </c>
      <c r="F80" s="268"/>
      <c r="G80" s="270"/>
      <c r="H80" s="268"/>
      <c r="I80" s="268"/>
      <c r="J80" s="268"/>
      <c r="K80" s="268"/>
      <c r="L80" s="1556"/>
      <c r="M80" s="271"/>
      <c r="N80" s="268"/>
      <c r="O80" s="171">
        <v>0</v>
      </c>
      <c r="P80" s="171">
        <v>0</v>
      </c>
      <c r="Q80" s="171">
        <f t="shared" si="1"/>
        <v>0</v>
      </c>
      <c r="R80" s="172">
        <v>0</v>
      </c>
    </row>
    <row r="81" spans="1:21" ht="14.1" customHeight="1">
      <c r="A81" s="224"/>
      <c r="B81" s="225"/>
      <c r="C81" s="226"/>
      <c r="D81" s="521"/>
      <c r="E81" s="255" t="s">
        <v>1238</v>
      </c>
      <c r="F81" s="268"/>
      <c r="G81" s="270"/>
      <c r="H81" s="268"/>
      <c r="I81" s="268"/>
      <c r="J81" s="268"/>
      <c r="K81" s="268"/>
      <c r="L81" s="1556"/>
      <c r="M81" s="271"/>
      <c r="N81" s="268"/>
      <c r="O81" s="171">
        <v>0</v>
      </c>
      <c r="P81" s="171">
        <v>0</v>
      </c>
      <c r="Q81" s="171">
        <f t="shared" si="1"/>
        <v>0</v>
      </c>
      <c r="R81" s="172">
        <v>0</v>
      </c>
    </row>
    <row r="82" spans="1:21" ht="14.1" customHeight="1">
      <c r="A82" s="224"/>
      <c r="B82" s="225"/>
      <c r="C82" s="226"/>
      <c r="D82" s="521"/>
      <c r="E82" s="255" t="s">
        <v>1240</v>
      </c>
      <c r="F82" s="268"/>
      <c r="G82" s="270"/>
      <c r="H82" s="268"/>
      <c r="I82" s="268"/>
      <c r="J82" s="268"/>
      <c r="K82" s="268"/>
      <c r="L82" s="1556"/>
      <c r="M82" s="271"/>
      <c r="N82" s="268"/>
      <c r="O82" s="171">
        <v>0</v>
      </c>
      <c r="P82" s="171">
        <v>0</v>
      </c>
      <c r="Q82" s="171">
        <f t="shared" si="1"/>
        <v>0</v>
      </c>
      <c r="R82" s="172">
        <v>0</v>
      </c>
    </row>
    <row r="83" spans="1:21" ht="14.1" customHeight="1">
      <c r="A83" s="224"/>
      <c r="B83" s="222"/>
      <c r="C83" s="223"/>
      <c r="D83" s="394" t="s">
        <v>1241</v>
      </c>
      <c r="E83" s="394"/>
      <c r="F83" s="84"/>
      <c r="G83" s="86"/>
      <c r="H83" s="84"/>
      <c r="I83" s="84"/>
      <c r="J83" s="84"/>
      <c r="K83" s="84"/>
      <c r="L83" s="83"/>
      <c r="M83" s="87"/>
      <c r="N83" s="84"/>
      <c r="O83" s="76">
        <f>O84</f>
        <v>0</v>
      </c>
      <c r="P83" s="76">
        <v>32000000</v>
      </c>
      <c r="Q83" s="76">
        <f t="shared" si="1"/>
        <v>-32000000</v>
      </c>
      <c r="R83" s="77">
        <f>+Q83/P83</f>
        <v>-1</v>
      </c>
    </row>
    <row r="84" spans="1:21" ht="14.1" customHeight="1">
      <c r="A84" s="224"/>
      <c r="B84" s="222"/>
      <c r="C84" s="205"/>
      <c r="D84" s="205"/>
      <c r="E84" s="255" t="s">
        <v>1242</v>
      </c>
      <c r="F84" s="268"/>
      <c r="G84" s="270"/>
      <c r="H84" s="268"/>
      <c r="I84" s="268"/>
      <c r="J84" s="268"/>
      <c r="K84" s="268"/>
      <c r="L84" s="1556"/>
      <c r="M84" s="271"/>
      <c r="N84" s="268"/>
      <c r="O84" s="171">
        <v>0</v>
      </c>
      <c r="P84" s="171">
        <v>32000000</v>
      </c>
      <c r="Q84" s="171">
        <f t="shared" si="1"/>
        <v>-32000000</v>
      </c>
      <c r="R84" s="172">
        <f>+Q84/P84</f>
        <v>-1</v>
      </c>
    </row>
    <row r="85" spans="1:21" ht="14.1" customHeight="1">
      <c r="A85" s="224"/>
      <c r="B85" s="222"/>
      <c r="C85" s="206" t="s">
        <v>1243</v>
      </c>
      <c r="D85" s="206" t="s">
        <v>325</v>
      </c>
      <c r="E85" s="205"/>
      <c r="F85" s="209"/>
      <c r="G85" s="208"/>
      <c r="H85" s="209"/>
      <c r="I85" s="209"/>
      <c r="J85" s="209"/>
      <c r="K85" s="209"/>
      <c r="L85" s="581"/>
      <c r="M85" s="210"/>
      <c r="N85" s="1657"/>
      <c r="O85" s="211">
        <f>O86+O95+O189</f>
        <v>852468000</v>
      </c>
      <c r="P85" s="211">
        <f>P86+P95+P189</f>
        <v>487700000</v>
      </c>
      <c r="Q85" s="211">
        <f>Q86+Q95+Q189</f>
        <v>364768000</v>
      </c>
      <c r="R85" s="212">
        <f>+Q85/P85</f>
        <v>0.74793520606930486</v>
      </c>
      <c r="U85" s="275"/>
    </row>
    <row r="86" spans="1:21" s="192" customFormat="1" ht="14.1" customHeight="1">
      <c r="A86" s="204"/>
      <c r="B86" s="222"/>
      <c r="C86" s="223"/>
      <c r="D86" s="394">
        <v>100</v>
      </c>
      <c r="E86" s="394" t="s">
        <v>1244</v>
      </c>
      <c r="F86" s="84"/>
      <c r="G86" s="86"/>
      <c r="H86" s="84"/>
      <c r="I86" s="84"/>
      <c r="J86" s="84"/>
      <c r="K86" s="84"/>
      <c r="L86" s="83"/>
      <c r="M86" s="87"/>
      <c r="N86" s="84"/>
      <c r="O86" s="76">
        <f>SUM(O87:O94)</f>
        <v>25640000</v>
      </c>
      <c r="P86" s="76">
        <f>SUM(P87:P94)</f>
        <v>11600000</v>
      </c>
      <c r="Q86" s="76">
        <f>+O86-P86</f>
        <v>14040000</v>
      </c>
      <c r="R86" s="135">
        <f>+Q86/P86</f>
        <v>1.210344827586207</v>
      </c>
    </row>
    <row r="87" spans="1:21" ht="14.1" customHeight="1">
      <c r="A87" s="224"/>
      <c r="B87" s="225"/>
      <c r="C87" s="226"/>
      <c r="D87" s="521"/>
      <c r="E87" s="255" t="s">
        <v>1204</v>
      </c>
      <c r="F87" s="66"/>
      <c r="G87" s="228"/>
      <c r="H87" s="66"/>
      <c r="I87" s="66"/>
      <c r="J87" s="66"/>
      <c r="K87" s="66"/>
      <c r="L87" s="229"/>
      <c r="M87" s="230"/>
      <c r="N87" s="66"/>
      <c r="O87" s="171">
        <f>ROUNDUP((N88),-3)</f>
        <v>24640000</v>
      </c>
      <c r="P87" s="171">
        <v>11600000</v>
      </c>
      <c r="Q87" s="171">
        <f>+O87-P87</f>
        <v>13040000</v>
      </c>
      <c r="R87" s="172">
        <f>+Q87/P87</f>
        <v>1.1241379310344828</v>
      </c>
    </row>
    <row r="88" spans="1:21" ht="14.1" customHeight="1">
      <c r="A88" s="224"/>
      <c r="B88" s="225"/>
      <c r="C88" s="226"/>
      <c r="D88" s="521"/>
      <c r="E88" s="521"/>
      <c r="F88" s="240" t="s">
        <v>1245</v>
      </c>
      <c r="G88" s="249"/>
      <c r="H88" s="240"/>
      <c r="I88" s="240"/>
      <c r="J88" s="240"/>
      <c r="K88" s="240"/>
      <c r="L88" s="250"/>
      <c r="M88" s="244"/>
      <c r="N88" s="234">
        <f>SUM(N89:N91)</f>
        <v>24640000</v>
      </c>
      <c r="O88" s="235"/>
      <c r="P88" s="997"/>
      <c r="Q88" s="997"/>
      <c r="R88" s="246"/>
    </row>
    <row r="89" spans="1:21" ht="14.1" customHeight="1">
      <c r="A89" s="224"/>
      <c r="B89" s="225"/>
      <c r="C89" s="226"/>
      <c r="D89" s="521"/>
      <c r="E89" s="521"/>
      <c r="F89" s="998" t="s">
        <v>1246</v>
      </c>
      <c r="G89" s="252">
        <v>1000000</v>
      </c>
      <c r="H89" s="240" t="s">
        <v>1175</v>
      </c>
      <c r="I89" s="242">
        <v>12</v>
      </c>
      <c r="J89" s="240"/>
      <c r="K89" s="256"/>
      <c r="L89" s="243"/>
      <c r="M89" s="244" t="s">
        <v>1176</v>
      </c>
      <c r="N89" s="245">
        <f>G89*I89</f>
        <v>12000000</v>
      </c>
      <c r="O89" s="235"/>
      <c r="P89" s="997"/>
      <c r="Q89" s="997"/>
      <c r="R89" s="246"/>
    </row>
    <row r="90" spans="1:21" ht="14.1" customHeight="1">
      <c r="A90" s="224"/>
      <c r="B90" s="225"/>
      <c r="C90" s="226"/>
      <c r="D90" s="521"/>
      <c r="E90" s="521"/>
      <c r="F90" s="998" t="s">
        <v>1247</v>
      </c>
      <c r="G90" s="249">
        <v>70000</v>
      </c>
      <c r="H90" s="240" t="s">
        <v>1175</v>
      </c>
      <c r="I90" s="1138">
        <v>52</v>
      </c>
      <c r="J90" s="240"/>
      <c r="K90" s="240"/>
      <c r="L90" s="250"/>
      <c r="M90" s="244" t="s">
        <v>1176</v>
      </c>
      <c r="N90" s="245">
        <f>G90*I90</f>
        <v>3640000</v>
      </c>
      <c r="O90" s="235"/>
      <c r="P90" s="997"/>
      <c r="Q90" s="997"/>
      <c r="R90" s="246"/>
      <c r="U90" s="275"/>
    </row>
    <row r="91" spans="1:21" ht="14.1" customHeight="1">
      <c r="A91" s="224"/>
      <c r="B91" s="225"/>
      <c r="C91" s="226"/>
      <c r="D91" s="521"/>
      <c r="E91" s="521"/>
      <c r="F91" s="998" t="s">
        <v>1248</v>
      </c>
      <c r="G91" s="249">
        <v>30000</v>
      </c>
      <c r="H91" s="240" t="s">
        <v>1175</v>
      </c>
      <c r="I91" s="1122">
        <v>25</v>
      </c>
      <c r="J91" s="240" t="s">
        <v>1175</v>
      </c>
      <c r="K91" s="242">
        <v>12</v>
      </c>
      <c r="L91" s="250"/>
      <c r="M91" s="244" t="s">
        <v>1176</v>
      </c>
      <c r="N91" s="245">
        <f>G91*I91*K91</f>
        <v>9000000</v>
      </c>
      <c r="O91" s="235"/>
      <c r="P91" s="997"/>
      <c r="Q91" s="997"/>
      <c r="R91" s="246"/>
      <c r="U91" s="275"/>
    </row>
    <row r="92" spans="1:21" ht="14.1" customHeight="1">
      <c r="A92" s="224"/>
      <c r="B92" s="225"/>
      <c r="C92" s="226"/>
      <c r="D92" s="521"/>
      <c r="E92" s="255" t="s">
        <v>1209</v>
      </c>
      <c r="F92" s="66"/>
      <c r="G92" s="228"/>
      <c r="H92" s="66"/>
      <c r="I92" s="66"/>
      <c r="J92" s="66"/>
      <c r="K92" s="66"/>
      <c r="L92" s="229"/>
      <c r="M92" s="230"/>
      <c r="N92" s="66"/>
      <c r="O92" s="171">
        <f>ROUNDUP((N93),-3)</f>
        <v>1000000</v>
      </c>
      <c r="P92" s="171">
        <v>0</v>
      </c>
      <c r="Q92" s="171">
        <f>+O92-P92</f>
        <v>1000000</v>
      </c>
      <c r="R92" s="172">
        <v>1</v>
      </c>
    </row>
    <row r="93" spans="1:21" ht="14.1" customHeight="1">
      <c r="A93" s="224"/>
      <c r="B93" s="225"/>
      <c r="C93" s="226"/>
      <c r="D93" s="521"/>
      <c r="E93" s="521"/>
      <c r="F93" s="240" t="s">
        <v>380</v>
      </c>
      <c r="G93" s="249"/>
      <c r="H93" s="240"/>
      <c r="I93" s="240"/>
      <c r="J93" s="240"/>
      <c r="K93" s="240"/>
      <c r="L93" s="250"/>
      <c r="M93" s="244"/>
      <c r="N93" s="251">
        <f>SUM(N94:N94)</f>
        <v>1000000</v>
      </c>
      <c r="O93" s="235"/>
      <c r="P93" s="997"/>
      <c r="Q93" s="997"/>
      <c r="R93" s="246"/>
    </row>
    <row r="94" spans="1:21" ht="14.1" customHeight="1">
      <c r="A94" s="224"/>
      <c r="B94" s="225"/>
      <c r="C94" s="226"/>
      <c r="D94" s="521"/>
      <c r="E94" s="521"/>
      <c r="F94" s="998" t="s">
        <v>1210</v>
      </c>
      <c r="G94" s="252">
        <v>12000000</v>
      </c>
      <c r="H94" s="240" t="s">
        <v>1175</v>
      </c>
      <c r="I94" s="1998">
        <v>12</v>
      </c>
      <c r="J94" s="1998"/>
      <c r="K94" s="242"/>
      <c r="L94" s="243"/>
      <c r="M94" s="244" t="s">
        <v>1176</v>
      </c>
      <c r="N94" s="245">
        <f>ROUNDUP((G94/12),-3)</f>
        <v>1000000</v>
      </c>
      <c r="O94" s="235"/>
      <c r="P94" s="997"/>
      <c r="Q94" s="997"/>
      <c r="R94" s="246"/>
    </row>
    <row r="95" spans="1:21" ht="14.1" customHeight="1">
      <c r="A95" s="224"/>
      <c r="B95" s="225"/>
      <c r="C95" s="226"/>
      <c r="D95" s="394">
        <v>200</v>
      </c>
      <c r="E95" s="394" t="s">
        <v>1249</v>
      </c>
      <c r="F95" s="84"/>
      <c r="G95" s="86"/>
      <c r="H95" s="84"/>
      <c r="I95" s="84"/>
      <c r="J95" s="84"/>
      <c r="K95" s="84"/>
      <c r="L95" s="83"/>
      <c r="M95" s="87"/>
      <c r="N95" s="84"/>
      <c r="O95" s="76">
        <f>SUM(O96:O188)</f>
        <v>187530000</v>
      </c>
      <c r="P95" s="76">
        <f>SUM(P96:P188)</f>
        <v>155256000</v>
      </c>
      <c r="Q95" s="76">
        <f>+O95-P95</f>
        <v>32274000</v>
      </c>
      <c r="R95" s="135">
        <f>+Q95/P95</f>
        <v>0.20787602411501005</v>
      </c>
      <c r="U95" s="275"/>
    </row>
    <row r="96" spans="1:21" ht="14.1" customHeight="1">
      <c r="A96" s="224"/>
      <c r="B96" s="225"/>
      <c r="C96" s="226"/>
      <c r="D96" s="521"/>
      <c r="E96" s="255" t="s">
        <v>1211</v>
      </c>
      <c r="F96" s="66"/>
      <c r="G96" s="228"/>
      <c r="H96" s="66"/>
      <c r="I96" s="66"/>
      <c r="J96" s="66"/>
      <c r="K96" s="66"/>
      <c r="L96" s="229"/>
      <c r="M96" s="230"/>
      <c r="N96" s="66"/>
      <c r="O96" s="171">
        <f>ROUNDUP(N97+N103,-3)</f>
        <v>7729000</v>
      </c>
      <c r="P96" s="171">
        <v>4200000</v>
      </c>
      <c r="Q96" s="171">
        <f>+O96-P96</f>
        <v>3529000</v>
      </c>
      <c r="R96" s="172">
        <f>+Q96/P96</f>
        <v>0.84023809523809523</v>
      </c>
    </row>
    <row r="97" spans="1:21" ht="14.1" customHeight="1">
      <c r="A97" s="224"/>
      <c r="B97" s="225"/>
      <c r="C97" s="226"/>
      <c r="D97" s="521"/>
      <c r="E97" s="521"/>
      <c r="F97" s="240" t="s">
        <v>2186</v>
      </c>
      <c r="G97" s="249"/>
      <c r="H97" s="240"/>
      <c r="I97" s="240"/>
      <c r="J97" s="240"/>
      <c r="K97" s="240"/>
      <c r="L97" s="250"/>
      <c r="M97" s="244"/>
      <c r="N97" s="251">
        <f>SUM(N98:N102)</f>
        <v>1929000</v>
      </c>
      <c r="O97" s="235"/>
      <c r="P97" s="997"/>
      <c r="Q97" s="997"/>
      <c r="R97" s="246"/>
    </row>
    <row r="98" spans="1:21" ht="14.1" customHeight="1">
      <c r="A98" s="224"/>
      <c r="B98" s="225"/>
      <c r="C98" s="226"/>
      <c r="D98" s="521"/>
      <c r="E98" s="521"/>
      <c r="F98" s="998" t="s">
        <v>2187</v>
      </c>
      <c r="G98" s="252">
        <v>24640000</v>
      </c>
      <c r="H98" s="240" t="s">
        <v>2188</v>
      </c>
      <c r="I98" s="1993">
        <v>4.4999999999999998E-2</v>
      </c>
      <c r="J98" s="1993"/>
      <c r="K98" s="242"/>
      <c r="L98" s="243"/>
      <c r="M98" s="244" t="s">
        <v>274</v>
      </c>
      <c r="N98" s="245">
        <f>ROUNDUP(G98*I98,-3)</f>
        <v>1109000</v>
      </c>
      <c r="O98" s="235"/>
      <c r="P98" s="997"/>
      <c r="Q98" s="997"/>
      <c r="R98" s="246"/>
    </row>
    <row r="99" spans="1:21" ht="14.1" customHeight="1">
      <c r="A99" s="224"/>
      <c r="B99" s="225"/>
      <c r="C99" s="226"/>
      <c r="D99" s="521"/>
      <c r="E99" s="521"/>
      <c r="F99" s="1653" t="s">
        <v>2189</v>
      </c>
      <c r="G99" s="252">
        <v>12000000</v>
      </c>
      <c r="H99" s="240" t="s">
        <v>2190</v>
      </c>
      <c r="I99" s="1993">
        <v>3.1E-2</v>
      </c>
      <c r="J99" s="1993"/>
      <c r="K99" s="242"/>
      <c r="L99" s="243"/>
      <c r="M99" s="244" t="s">
        <v>274</v>
      </c>
      <c r="N99" s="245">
        <f>ROUNDUP(G99*I99,-3)</f>
        <v>372000</v>
      </c>
      <c r="O99" s="235"/>
      <c r="P99" s="997"/>
      <c r="Q99" s="997"/>
      <c r="R99" s="246"/>
    </row>
    <row r="100" spans="1:21" ht="14.1" customHeight="1">
      <c r="A100" s="224"/>
      <c r="B100" s="225"/>
      <c r="C100" s="226"/>
      <c r="D100" s="521"/>
      <c r="E100" s="521"/>
      <c r="F100" s="1653" t="s">
        <v>385</v>
      </c>
      <c r="G100" s="252">
        <v>1109000</v>
      </c>
      <c r="H100" s="240" t="s">
        <v>2190</v>
      </c>
      <c r="I100" s="1993">
        <v>7.0099999999999996E-2</v>
      </c>
      <c r="J100" s="1993"/>
      <c r="K100" s="242"/>
      <c r="L100" s="243"/>
      <c r="M100" s="244" t="s">
        <v>274</v>
      </c>
      <c r="N100" s="245">
        <f>ROUNDUP(G100*I100,-3)</f>
        <v>78000</v>
      </c>
      <c r="O100" s="235"/>
      <c r="P100" s="997"/>
      <c r="Q100" s="997"/>
      <c r="R100" s="246"/>
      <c r="U100" s="275"/>
    </row>
    <row r="101" spans="1:21" ht="14.1" customHeight="1">
      <c r="A101" s="224"/>
      <c r="B101" s="225"/>
      <c r="C101" s="226"/>
      <c r="D101" s="521"/>
      <c r="E101" s="521"/>
      <c r="F101" s="1653" t="s">
        <v>2191</v>
      </c>
      <c r="G101" s="252">
        <v>24640000</v>
      </c>
      <c r="H101" s="240" t="s">
        <v>2190</v>
      </c>
      <c r="I101" s="1993">
        <v>8.9999999999999993E-3</v>
      </c>
      <c r="J101" s="1993"/>
      <c r="K101" s="242"/>
      <c r="L101" s="243"/>
      <c r="M101" s="244" t="s">
        <v>274</v>
      </c>
      <c r="N101" s="245">
        <f>ROUNDUP(G101*I101,-3)</f>
        <v>222000</v>
      </c>
      <c r="O101" s="235"/>
      <c r="P101" s="997"/>
      <c r="Q101" s="997"/>
      <c r="R101" s="246"/>
    </row>
    <row r="102" spans="1:21" ht="14.1" customHeight="1">
      <c r="A102" s="224"/>
      <c r="B102" s="225"/>
      <c r="C102" s="226"/>
      <c r="D102" s="521"/>
      <c r="E102" s="521"/>
      <c r="F102" s="1653" t="s">
        <v>2192</v>
      </c>
      <c r="G102" s="252">
        <v>24640000</v>
      </c>
      <c r="H102" s="240" t="s">
        <v>2190</v>
      </c>
      <c r="I102" s="1993">
        <v>6.0000000000000001E-3</v>
      </c>
      <c r="J102" s="1993"/>
      <c r="K102" s="242"/>
      <c r="L102" s="243"/>
      <c r="M102" s="244" t="s">
        <v>274</v>
      </c>
      <c r="N102" s="245">
        <f>ROUNDUP(G102*I102,-3)</f>
        <v>148000</v>
      </c>
      <c r="O102" s="235"/>
      <c r="P102" s="997"/>
      <c r="Q102" s="997"/>
      <c r="R102" s="246"/>
    </row>
    <row r="103" spans="1:21" ht="14.1" customHeight="1">
      <c r="A103" s="224"/>
      <c r="B103" s="225"/>
      <c r="C103" s="226"/>
      <c r="D103" s="521"/>
      <c r="E103" s="521"/>
      <c r="F103" s="240" t="s">
        <v>2193</v>
      </c>
      <c r="G103" s="249"/>
      <c r="H103" s="240"/>
      <c r="I103" s="240"/>
      <c r="J103" s="240"/>
      <c r="K103" s="240"/>
      <c r="L103" s="250"/>
      <c r="M103" s="244"/>
      <c r="N103" s="251">
        <f>SUM(N104:N106)</f>
        <v>5800000</v>
      </c>
      <c r="O103" s="235"/>
      <c r="P103" s="997"/>
      <c r="Q103" s="997"/>
      <c r="R103" s="246"/>
      <c r="U103" s="275"/>
    </row>
    <row r="104" spans="1:21" ht="14.1" customHeight="1">
      <c r="A104" s="224"/>
      <c r="B104" s="225"/>
      <c r="C104" s="226"/>
      <c r="D104" s="521"/>
      <c r="E104" s="521"/>
      <c r="F104" s="998" t="s">
        <v>437</v>
      </c>
      <c r="G104" s="252">
        <v>300000</v>
      </c>
      <c r="H104" s="240" t="s">
        <v>273</v>
      </c>
      <c r="I104" s="256">
        <v>1</v>
      </c>
      <c r="J104" s="240" t="s">
        <v>109</v>
      </c>
      <c r="K104" s="256">
        <v>12</v>
      </c>
      <c r="L104" s="243"/>
      <c r="M104" s="244" t="s">
        <v>274</v>
      </c>
      <c r="N104" s="245">
        <f>ROUNDUP(G104*I104*K104,-3)</f>
        <v>3600000</v>
      </c>
      <c r="O104" s="235"/>
      <c r="P104" s="997"/>
      <c r="Q104" s="997"/>
      <c r="R104" s="246"/>
    </row>
    <row r="105" spans="1:21" ht="14.1" customHeight="1">
      <c r="A105" s="224"/>
      <c r="B105" s="225"/>
      <c r="C105" s="226"/>
      <c r="D105" s="521"/>
      <c r="E105" s="521"/>
      <c r="F105" s="998" t="s">
        <v>1250</v>
      </c>
      <c r="G105" s="252">
        <v>50000</v>
      </c>
      <c r="H105" s="240" t="s">
        <v>273</v>
      </c>
      <c r="I105" s="265">
        <v>1</v>
      </c>
      <c r="J105" s="240" t="s">
        <v>109</v>
      </c>
      <c r="K105" s="241">
        <v>20</v>
      </c>
      <c r="L105" s="243"/>
      <c r="M105" s="244" t="s">
        <v>274</v>
      </c>
      <c r="N105" s="245">
        <f>ROUNDUP(G105*I105*K105,-3)</f>
        <v>1000000</v>
      </c>
      <c r="O105" s="235"/>
      <c r="P105" s="997"/>
      <c r="Q105" s="997"/>
      <c r="R105" s="246"/>
    </row>
    <row r="106" spans="1:21" ht="14.1" customHeight="1">
      <c r="A106" s="224"/>
      <c r="B106" s="225"/>
      <c r="C106" s="226"/>
      <c r="D106" s="521"/>
      <c r="E106" s="521"/>
      <c r="F106" s="998" t="s">
        <v>1251</v>
      </c>
      <c r="G106" s="252">
        <v>20000</v>
      </c>
      <c r="H106" s="240" t="s">
        <v>2190</v>
      </c>
      <c r="I106" s="265">
        <v>2</v>
      </c>
      <c r="J106" s="240" t="s">
        <v>109</v>
      </c>
      <c r="K106" s="241">
        <v>30</v>
      </c>
      <c r="L106" s="243"/>
      <c r="M106" s="244" t="s">
        <v>274</v>
      </c>
      <c r="N106" s="245">
        <f>ROUNDUP(G106*I106*K106,-3)</f>
        <v>1200000</v>
      </c>
      <c r="O106" s="235"/>
      <c r="P106" s="997"/>
      <c r="Q106" s="997"/>
      <c r="R106" s="246"/>
      <c r="U106" s="275"/>
    </row>
    <row r="107" spans="1:21" ht="14.1" customHeight="1">
      <c r="A107" s="224"/>
      <c r="B107" s="225"/>
      <c r="C107" s="226"/>
      <c r="D107" s="521"/>
      <c r="E107" s="255" t="s">
        <v>440</v>
      </c>
      <c r="F107" s="66"/>
      <c r="G107" s="228"/>
      <c r="H107" s="66"/>
      <c r="I107" s="66"/>
      <c r="J107" s="66"/>
      <c r="K107" s="66"/>
      <c r="L107" s="229"/>
      <c r="M107" s="230"/>
      <c r="N107" s="66"/>
      <c r="O107" s="171">
        <f>ROUNDUP(N108,-3)</f>
        <v>10000000</v>
      </c>
      <c r="P107" s="171">
        <v>5000000</v>
      </c>
      <c r="Q107" s="171">
        <f>+O107-P107</f>
        <v>5000000</v>
      </c>
      <c r="R107" s="172">
        <f>+Q107/P107</f>
        <v>1</v>
      </c>
    </row>
    <row r="108" spans="1:21" ht="14.1" customHeight="1">
      <c r="A108" s="224"/>
      <c r="B108" s="225"/>
      <c r="C108" s="226"/>
      <c r="D108" s="521"/>
      <c r="E108" s="521"/>
      <c r="F108" s="240" t="s">
        <v>742</v>
      </c>
      <c r="G108" s="249"/>
      <c r="H108" s="240"/>
      <c r="I108" s="240"/>
      <c r="J108" s="240"/>
      <c r="K108" s="240"/>
      <c r="L108" s="250"/>
      <c r="M108" s="244"/>
      <c r="N108" s="251">
        <f>SUM(N109:N110)</f>
        <v>10000000</v>
      </c>
      <c r="O108" s="235"/>
      <c r="P108" s="997"/>
      <c r="Q108" s="997"/>
      <c r="R108" s="246"/>
    </row>
    <row r="109" spans="1:21" ht="14.1" customHeight="1">
      <c r="A109" s="224"/>
      <c r="B109" s="225"/>
      <c r="C109" s="226"/>
      <c r="D109" s="521"/>
      <c r="E109" s="521"/>
      <c r="F109" s="998" t="s">
        <v>1252</v>
      </c>
      <c r="G109" s="252">
        <v>50000</v>
      </c>
      <c r="H109" s="240" t="s">
        <v>277</v>
      </c>
      <c r="I109" s="241">
        <v>6</v>
      </c>
      <c r="J109" s="240" t="s">
        <v>109</v>
      </c>
      <c r="K109" s="256">
        <v>20</v>
      </c>
      <c r="L109" s="250"/>
      <c r="M109" s="244" t="s">
        <v>1176</v>
      </c>
      <c r="N109" s="245">
        <f>G109*I109*K109</f>
        <v>6000000</v>
      </c>
      <c r="O109" s="235"/>
      <c r="P109" s="997"/>
      <c r="Q109" s="997"/>
      <c r="R109" s="246"/>
    </row>
    <row r="110" spans="1:21" ht="14.1" customHeight="1">
      <c r="A110" s="224"/>
      <c r="B110" s="225"/>
      <c r="C110" s="226"/>
      <c r="D110" s="225"/>
      <c r="E110" s="521"/>
      <c r="F110" s="998" t="s">
        <v>1034</v>
      </c>
      <c r="G110" s="252">
        <v>1000000</v>
      </c>
      <c r="H110" s="240" t="s">
        <v>277</v>
      </c>
      <c r="I110" s="241">
        <v>2</v>
      </c>
      <c r="J110" s="240" t="s">
        <v>109</v>
      </c>
      <c r="K110" s="256">
        <v>2</v>
      </c>
      <c r="L110" s="243"/>
      <c r="M110" s="244" t="s">
        <v>283</v>
      </c>
      <c r="N110" s="245">
        <f>G110*I110*K110</f>
        <v>4000000</v>
      </c>
      <c r="O110" s="235"/>
      <c r="P110" s="997"/>
      <c r="Q110" s="997"/>
      <c r="R110" s="246"/>
    </row>
    <row r="111" spans="1:21" ht="14.1" customHeight="1">
      <c r="A111" s="224"/>
      <c r="B111" s="225"/>
      <c r="C111" s="226"/>
      <c r="D111" s="521"/>
      <c r="E111" s="255" t="s">
        <v>1217</v>
      </c>
      <c r="F111" s="66"/>
      <c r="G111" s="228"/>
      <c r="H111" s="66"/>
      <c r="I111" s="66"/>
      <c r="J111" s="66"/>
      <c r="K111" s="66"/>
      <c r="L111" s="229"/>
      <c r="M111" s="230"/>
      <c r="N111" s="66"/>
      <c r="O111" s="171">
        <f>ROUNDUP(N112,-3)</f>
        <v>7205000</v>
      </c>
      <c r="P111" s="171">
        <v>6205000</v>
      </c>
      <c r="Q111" s="171">
        <f>+O111-P111</f>
        <v>1000000</v>
      </c>
      <c r="R111" s="172">
        <f>+Q111/P111</f>
        <v>0.16116035455278002</v>
      </c>
    </row>
    <row r="112" spans="1:21" ht="14.1" customHeight="1">
      <c r="A112" s="224"/>
      <c r="B112" s="225"/>
      <c r="C112" s="226"/>
      <c r="D112" s="521"/>
      <c r="E112" s="521"/>
      <c r="F112" s="240" t="s">
        <v>1253</v>
      </c>
      <c r="G112" s="249"/>
      <c r="H112" s="240"/>
      <c r="I112" s="240"/>
      <c r="J112" s="240"/>
      <c r="K112" s="240"/>
      <c r="L112" s="250"/>
      <c r="M112" s="244"/>
      <c r="N112" s="251">
        <f>SUM(N113:N118)</f>
        <v>7205000</v>
      </c>
      <c r="O112" s="235"/>
      <c r="P112" s="997"/>
      <c r="Q112" s="997"/>
      <c r="R112" s="246"/>
      <c r="U112" s="275"/>
    </row>
    <row r="113" spans="1:21" ht="14.1" customHeight="1">
      <c r="A113" s="224"/>
      <c r="B113" s="225"/>
      <c r="C113" s="226"/>
      <c r="D113" s="521"/>
      <c r="E113" s="521"/>
      <c r="F113" s="998" t="s">
        <v>1254</v>
      </c>
      <c r="G113" s="252">
        <v>700000</v>
      </c>
      <c r="H113" s="240" t="s">
        <v>1175</v>
      </c>
      <c r="I113" s="256">
        <v>1</v>
      </c>
      <c r="J113" s="240"/>
      <c r="K113" s="242"/>
      <c r="L113" s="243"/>
      <c r="M113" s="244" t="s">
        <v>1176</v>
      </c>
      <c r="N113" s="245">
        <f t="shared" ref="N113:N118" si="2">G113*I113</f>
        <v>700000</v>
      </c>
      <c r="O113" s="235"/>
      <c r="P113" s="997"/>
      <c r="Q113" s="997"/>
      <c r="R113" s="246"/>
    </row>
    <row r="114" spans="1:21" ht="14.1" customHeight="1">
      <c r="A114" s="224"/>
      <c r="B114" s="225"/>
      <c r="C114" s="226"/>
      <c r="D114" s="521"/>
      <c r="E114" s="521"/>
      <c r="F114" s="998" t="s">
        <v>1255</v>
      </c>
      <c r="G114" s="252">
        <v>2600000</v>
      </c>
      <c r="H114" s="240" t="s">
        <v>1175</v>
      </c>
      <c r="I114" s="256">
        <v>1</v>
      </c>
      <c r="J114" s="240"/>
      <c r="K114" s="242"/>
      <c r="L114" s="243"/>
      <c r="M114" s="244" t="s">
        <v>1176</v>
      </c>
      <c r="N114" s="245">
        <f t="shared" si="2"/>
        <v>2600000</v>
      </c>
      <c r="O114" s="235"/>
      <c r="P114" s="997"/>
      <c r="Q114" s="997"/>
      <c r="R114" s="246"/>
    </row>
    <row r="115" spans="1:21" ht="14.1" customHeight="1">
      <c r="A115" s="224"/>
      <c r="B115" s="225"/>
      <c r="C115" s="226"/>
      <c r="D115" s="521"/>
      <c r="E115" s="521"/>
      <c r="F115" s="998" t="s">
        <v>1256</v>
      </c>
      <c r="G115" s="252">
        <v>1405000</v>
      </c>
      <c r="H115" s="240" t="s">
        <v>1175</v>
      </c>
      <c r="I115" s="256">
        <v>1</v>
      </c>
      <c r="J115" s="240"/>
      <c r="K115" s="242"/>
      <c r="L115" s="243"/>
      <c r="M115" s="244" t="s">
        <v>283</v>
      </c>
      <c r="N115" s="245">
        <f t="shared" si="2"/>
        <v>1405000</v>
      </c>
      <c r="O115" s="235"/>
      <c r="P115" s="997"/>
      <c r="Q115" s="997"/>
      <c r="R115" s="246"/>
    </row>
    <row r="116" spans="1:21" ht="14.1" customHeight="1">
      <c r="A116" s="224"/>
      <c r="B116" s="225"/>
      <c r="C116" s="226"/>
      <c r="D116" s="521"/>
      <c r="E116" s="521"/>
      <c r="F116" s="1653" t="s">
        <v>1257</v>
      </c>
      <c r="G116" s="249">
        <v>1500000</v>
      </c>
      <c r="H116" s="240" t="s">
        <v>277</v>
      </c>
      <c r="I116" s="256">
        <v>1</v>
      </c>
      <c r="J116" s="240"/>
      <c r="K116" s="242"/>
      <c r="L116" s="243"/>
      <c r="M116" s="244" t="s">
        <v>283</v>
      </c>
      <c r="N116" s="245">
        <f t="shared" si="2"/>
        <v>1500000</v>
      </c>
      <c r="O116" s="235"/>
      <c r="P116" s="997"/>
      <c r="Q116" s="997"/>
      <c r="R116" s="246"/>
    </row>
    <row r="117" spans="1:21" ht="14.45" hidden="1" customHeight="1">
      <c r="A117" s="224"/>
      <c r="B117" s="225"/>
      <c r="C117" s="226"/>
      <c r="D117" s="521"/>
      <c r="E117" s="521"/>
      <c r="F117" s="1653" t="s">
        <v>1258</v>
      </c>
      <c r="G117" s="249">
        <v>0</v>
      </c>
      <c r="H117" s="240" t="s">
        <v>277</v>
      </c>
      <c r="I117" s="256">
        <v>2</v>
      </c>
      <c r="J117" s="240"/>
      <c r="K117" s="242"/>
      <c r="L117" s="243"/>
      <c r="M117" s="244" t="s">
        <v>283</v>
      </c>
      <c r="N117" s="245">
        <f t="shared" si="2"/>
        <v>0</v>
      </c>
      <c r="O117" s="235"/>
      <c r="P117" s="997"/>
      <c r="Q117" s="997"/>
      <c r="R117" s="246"/>
    </row>
    <row r="118" spans="1:21" ht="14.45" customHeight="1">
      <c r="A118" s="576"/>
      <c r="B118" s="278"/>
      <c r="C118" s="279"/>
      <c r="D118" s="1116"/>
      <c r="E118" s="1116"/>
      <c r="F118" s="1658" t="s">
        <v>2456</v>
      </c>
      <c r="G118" s="282">
        <v>1000000</v>
      </c>
      <c r="H118" s="283" t="s">
        <v>1175</v>
      </c>
      <c r="I118" s="592">
        <v>1</v>
      </c>
      <c r="J118" s="283"/>
      <c r="K118" s="284"/>
      <c r="L118" s="1402"/>
      <c r="M118" s="285" t="s">
        <v>283</v>
      </c>
      <c r="N118" s="286">
        <f t="shared" si="2"/>
        <v>1000000</v>
      </c>
      <c r="O118" s="287"/>
      <c r="P118" s="1027"/>
      <c r="Q118" s="1027"/>
      <c r="R118" s="288"/>
    </row>
    <row r="119" spans="1:21" ht="14.45" customHeight="1">
      <c r="A119" s="224"/>
      <c r="B119" s="225"/>
      <c r="C119" s="226"/>
      <c r="D119" s="521"/>
      <c r="E119" s="1112" t="s">
        <v>396</v>
      </c>
      <c r="F119" s="363"/>
      <c r="G119" s="365"/>
      <c r="H119" s="363"/>
      <c r="I119" s="363"/>
      <c r="J119" s="363"/>
      <c r="K119" s="363"/>
      <c r="L119" s="366"/>
      <c r="M119" s="367"/>
      <c r="N119" s="363"/>
      <c r="O119" s="188">
        <f>ROUNDUP(N120,-3)</f>
        <v>14400000</v>
      </c>
      <c r="P119" s="188">
        <v>14400000</v>
      </c>
      <c r="Q119" s="188">
        <f>+O119-P119</f>
        <v>0</v>
      </c>
      <c r="R119" s="570">
        <f>+Q119/P119</f>
        <v>0</v>
      </c>
    </row>
    <row r="120" spans="1:21" ht="14.45" customHeight="1">
      <c r="A120" s="224"/>
      <c r="B120" s="225"/>
      <c r="C120" s="226"/>
      <c r="D120" s="521"/>
      <c r="E120" s="521"/>
      <c r="F120" s="240" t="s">
        <v>1259</v>
      </c>
      <c r="G120" s="249"/>
      <c r="H120" s="240"/>
      <c r="I120" s="240"/>
      <c r="J120" s="240"/>
      <c r="K120" s="240"/>
      <c r="L120" s="250"/>
      <c r="M120" s="244"/>
      <c r="N120" s="251">
        <f>SUM(N121:N124)</f>
        <v>14400000</v>
      </c>
      <c r="O120" s="235"/>
      <c r="P120" s="997"/>
      <c r="Q120" s="997"/>
      <c r="R120" s="246"/>
      <c r="U120" s="275"/>
    </row>
    <row r="121" spans="1:21" ht="14.45" customHeight="1">
      <c r="A121" s="224"/>
      <c r="B121" s="225"/>
      <c r="C121" s="226"/>
      <c r="D121" s="521"/>
      <c r="E121" s="521"/>
      <c r="F121" s="240" t="s">
        <v>2562</v>
      </c>
      <c r="G121" s="252">
        <v>200000</v>
      </c>
      <c r="H121" s="240" t="s">
        <v>277</v>
      </c>
      <c r="I121" s="242">
        <v>12</v>
      </c>
      <c r="J121" s="240"/>
      <c r="K121" s="242"/>
      <c r="L121" s="243"/>
      <c r="M121" s="244" t="s">
        <v>283</v>
      </c>
      <c r="N121" s="245">
        <f>G121*I121</f>
        <v>2400000</v>
      </c>
      <c r="O121" s="235"/>
      <c r="P121" s="997"/>
      <c r="Q121" s="997"/>
      <c r="R121" s="246"/>
    </row>
    <row r="122" spans="1:21" ht="14.45" customHeight="1">
      <c r="A122" s="224"/>
      <c r="B122" s="225"/>
      <c r="C122" s="226"/>
      <c r="D122" s="521"/>
      <c r="E122" s="521"/>
      <c r="F122" s="240" t="s">
        <v>2563</v>
      </c>
      <c r="G122" s="252">
        <v>300000</v>
      </c>
      <c r="H122" s="240" t="s">
        <v>1175</v>
      </c>
      <c r="I122" s="242">
        <v>12</v>
      </c>
      <c r="J122" s="240"/>
      <c r="K122" s="242"/>
      <c r="L122" s="243"/>
      <c r="M122" s="244" t="s">
        <v>1176</v>
      </c>
      <c r="N122" s="245">
        <f>G122*I122</f>
        <v>3600000</v>
      </c>
      <c r="O122" s="235"/>
      <c r="P122" s="997"/>
      <c r="Q122" s="997"/>
      <c r="R122" s="246"/>
    </row>
    <row r="123" spans="1:21" ht="14.45" customHeight="1">
      <c r="A123" s="224"/>
      <c r="B123" s="225"/>
      <c r="C123" s="226"/>
      <c r="D123" s="521"/>
      <c r="E123" s="521"/>
      <c r="F123" s="240" t="s">
        <v>2564</v>
      </c>
      <c r="G123" s="252">
        <v>400000</v>
      </c>
      <c r="H123" s="240" t="s">
        <v>1175</v>
      </c>
      <c r="I123" s="242">
        <v>12</v>
      </c>
      <c r="J123" s="240"/>
      <c r="K123" s="242"/>
      <c r="L123" s="243"/>
      <c r="M123" s="244" t="s">
        <v>1176</v>
      </c>
      <c r="N123" s="245">
        <f>G123*I123</f>
        <v>4800000</v>
      </c>
      <c r="O123" s="235"/>
      <c r="P123" s="997"/>
      <c r="Q123" s="997"/>
      <c r="R123" s="246"/>
    </row>
    <row r="124" spans="1:21" ht="14.45" customHeight="1">
      <c r="A124" s="224"/>
      <c r="B124" s="225"/>
      <c r="C124" s="226"/>
      <c r="D124" s="521"/>
      <c r="E124" s="521"/>
      <c r="F124" s="240" t="s">
        <v>2565</v>
      </c>
      <c r="G124" s="252">
        <v>300000</v>
      </c>
      <c r="H124" s="240" t="s">
        <v>277</v>
      </c>
      <c r="I124" s="242">
        <v>12</v>
      </c>
      <c r="J124" s="240"/>
      <c r="K124" s="242"/>
      <c r="L124" s="243"/>
      <c r="M124" s="244" t="s">
        <v>283</v>
      </c>
      <c r="N124" s="245">
        <f>G124*I124</f>
        <v>3600000</v>
      </c>
      <c r="O124" s="235"/>
      <c r="P124" s="997"/>
      <c r="Q124" s="997"/>
      <c r="R124" s="246"/>
    </row>
    <row r="125" spans="1:21" ht="14.45" customHeight="1">
      <c r="A125" s="224"/>
      <c r="B125" s="225"/>
      <c r="C125" s="226"/>
      <c r="D125" s="521"/>
      <c r="E125" s="255" t="s">
        <v>444</v>
      </c>
      <c r="F125" s="66"/>
      <c r="G125" s="228"/>
      <c r="H125" s="66"/>
      <c r="I125" s="66"/>
      <c r="J125" s="66"/>
      <c r="K125" s="66"/>
      <c r="L125" s="229"/>
      <c r="M125" s="230"/>
      <c r="N125" s="66"/>
      <c r="O125" s="171">
        <f>ROUNDUP(N126,-3)</f>
        <v>6600000</v>
      </c>
      <c r="P125" s="171">
        <v>8000000</v>
      </c>
      <c r="Q125" s="171">
        <f>+O125-P125</f>
        <v>-1400000</v>
      </c>
      <c r="R125" s="172">
        <f>+Q125/P125</f>
        <v>-0.17499999999999999</v>
      </c>
    </row>
    <row r="126" spans="1:21" ht="14.45" customHeight="1">
      <c r="A126" s="224"/>
      <c r="B126" s="225"/>
      <c r="C126" s="226"/>
      <c r="D126" s="521"/>
      <c r="E126" s="521"/>
      <c r="F126" s="240" t="s">
        <v>445</v>
      </c>
      <c r="G126" s="249"/>
      <c r="H126" s="240"/>
      <c r="I126" s="240"/>
      <c r="J126" s="240"/>
      <c r="K126" s="240"/>
      <c r="L126" s="250"/>
      <c r="M126" s="244"/>
      <c r="N126" s="251">
        <f>SUM(N127)</f>
        <v>6600000</v>
      </c>
      <c r="O126" s="235"/>
      <c r="P126" s="997"/>
      <c r="Q126" s="997"/>
      <c r="R126" s="246"/>
    </row>
    <row r="127" spans="1:21" ht="14.45" customHeight="1">
      <c r="A127" s="224"/>
      <c r="B127" s="225"/>
      <c r="C127" s="226"/>
      <c r="D127" s="521"/>
      <c r="E127" s="521"/>
      <c r="F127" s="998" t="s">
        <v>1260</v>
      </c>
      <c r="G127" s="252">
        <v>150000</v>
      </c>
      <c r="H127" s="240" t="s">
        <v>277</v>
      </c>
      <c r="I127" s="241">
        <v>22</v>
      </c>
      <c r="J127" s="240" t="s">
        <v>109</v>
      </c>
      <c r="K127" s="256">
        <v>2</v>
      </c>
      <c r="L127" s="243"/>
      <c r="M127" s="244" t="s">
        <v>1176</v>
      </c>
      <c r="N127" s="245">
        <f>ROUNDUP(G127*I127*K127,-3)</f>
        <v>6600000</v>
      </c>
      <c r="O127" s="235"/>
      <c r="P127" s="997"/>
      <c r="Q127" s="997"/>
      <c r="R127" s="246"/>
    </row>
    <row r="128" spans="1:21" ht="14.45" customHeight="1">
      <c r="A128" s="224"/>
      <c r="B128" s="225"/>
      <c r="C128" s="226"/>
      <c r="D128" s="521"/>
      <c r="E128" s="255" t="s">
        <v>401</v>
      </c>
      <c r="F128" s="66"/>
      <c r="G128" s="228"/>
      <c r="H128" s="66"/>
      <c r="I128" s="66"/>
      <c r="J128" s="66"/>
      <c r="K128" s="66"/>
      <c r="L128" s="229"/>
      <c r="M128" s="230"/>
      <c r="N128" s="66"/>
      <c r="O128" s="171">
        <f>ROUNDUP(N129,-3)</f>
        <v>6000000</v>
      </c>
      <c r="P128" s="171">
        <v>3600000</v>
      </c>
      <c r="Q128" s="171">
        <f>+O128-P128</f>
        <v>2400000</v>
      </c>
      <c r="R128" s="172">
        <f>+Q128/P128</f>
        <v>0.66666666666666663</v>
      </c>
    </row>
    <row r="129" spans="1:21" ht="14.45" customHeight="1">
      <c r="A129" s="224"/>
      <c r="B129" s="225"/>
      <c r="C129" s="226"/>
      <c r="D129" s="521"/>
      <c r="E129" s="521"/>
      <c r="F129" s="240" t="s">
        <v>1261</v>
      </c>
      <c r="G129" s="249"/>
      <c r="H129" s="240"/>
      <c r="I129" s="240"/>
      <c r="J129" s="240"/>
      <c r="K129" s="240"/>
      <c r="L129" s="250"/>
      <c r="M129" s="244"/>
      <c r="N129" s="251">
        <f>SUM(N130:N130)</f>
        <v>6000000</v>
      </c>
      <c r="O129" s="235"/>
      <c r="P129" s="997"/>
      <c r="Q129" s="997"/>
      <c r="R129" s="246"/>
    </row>
    <row r="130" spans="1:21" ht="14.45" customHeight="1">
      <c r="A130" s="224"/>
      <c r="B130" s="225"/>
      <c r="C130" s="226"/>
      <c r="D130" s="225"/>
      <c r="E130" s="1116"/>
      <c r="F130" s="1023" t="s">
        <v>2566</v>
      </c>
      <c r="G130" s="579">
        <v>500000</v>
      </c>
      <c r="H130" s="283" t="s">
        <v>1175</v>
      </c>
      <c r="I130" s="592">
        <v>12</v>
      </c>
      <c r="J130" s="283"/>
      <c r="K130" s="284"/>
      <c r="L130" s="1402"/>
      <c r="M130" s="285" t="s">
        <v>1176</v>
      </c>
      <c r="N130" s="286">
        <f>G130*I130</f>
        <v>6000000</v>
      </c>
      <c r="O130" s="287"/>
      <c r="P130" s="1027"/>
      <c r="Q130" s="1027"/>
      <c r="R130" s="288"/>
    </row>
    <row r="131" spans="1:21" ht="14.45" customHeight="1">
      <c r="A131" s="224"/>
      <c r="B131" s="225"/>
      <c r="C131" s="226"/>
      <c r="D131" s="521"/>
      <c r="E131" s="1112" t="s">
        <v>1262</v>
      </c>
      <c r="F131" s="363"/>
      <c r="G131" s="365"/>
      <c r="H131" s="363"/>
      <c r="I131" s="363"/>
      <c r="J131" s="363"/>
      <c r="K131" s="363"/>
      <c r="L131" s="366"/>
      <c r="M131" s="367"/>
      <c r="N131" s="363"/>
      <c r="O131" s="188">
        <f>ROUNDUP(N132,-3)</f>
        <v>25800000</v>
      </c>
      <c r="P131" s="188">
        <v>25116000</v>
      </c>
      <c r="Q131" s="188">
        <f>+O131-P131</f>
        <v>684000</v>
      </c>
      <c r="R131" s="570">
        <f>+Q131/P131</f>
        <v>2.7233635929288104E-2</v>
      </c>
    </row>
    <row r="132" spans="1:21" ht="14.45" customHeight="1">
      <c r="A132" s="224"/>
      <c r="B132" s="225"/>
      <c r="C132" s="226"/>
      <c r="D132" s="521"/>
      <c r="E132" s="521"/>
      <c r="F132" s="240" t="s">
        <v>1263</v>
      </c>
      <c r="G132" s="249"/>
      <c r="H132" s="240"/>
      <c r="I132" s="240"/>
      <c r="J132" s="240"/>
      <c r="K132" s="240"/>
      <c r="L132" s="250"/>
      <c r="M132" s="244"/>
      <c r="N132" s="251">
        <f>SUM(N133:N136)</f>
        <v>25800000</v>
      </c>
      <c r="O132" s="235"/>
      <c r="P132" s="997"/>
      <c r="Q132" s="997"/>
      <c r="R132" s="246"/>
    </row>
    <row r="133" spans="1:21" ht="14.45" customHeight="1">
      <c r="A133" s="224"/>
      <c r="B133" s="225"/>
      <c r="C133" s="226"/>
      <c r="D133" s="521"/>
      <c r="E133" s="521"/>
      <c r="F133" s="998" t="s">
        <v>1264</v>
      </c>
      <c r="G133" s="252">
        <v>150000</v>
      </c>
      <c r="H133" s="240" t="s">
        <v>109</v>
      </c>
      <c r="I133" s="242">
        <v>12</v>
      </c>
      <c r="J133" s="240"/>
      <c r="K133" s="242"/>
      <c r="L133" s="243"/>
      <c r="M133" s="244" t="s">
        <v>1176</v>
      </c>
      <c r="N133" s="245">
        <f>G133*I133</f>
        <v>1800000</v>
      </c>
      <c r="O133" s="235"/>
      <c r="P133" s="997"/>
      <c r="Q133" s="997"/>
      <c r="R133" s="246"/>
      <c r="U133" s="275"/>
    </row>
    <row r="134" spans="1:21" ht="14.45" customHeight="1">
      <c r="A134" s="224"/>
      <c r="B134" s="225"/>
      <c r="C134" s="226"/>
      <c r="D134" s="521"/>
      <c r="E134" s="521"/>
      <c r="F134" s="998" t="s">
        <v>1265</v>
      </c>
      <c r="G134" s="252">
        <v>150000</v>
      </c>
      <c r="H134" s="240" t="s">
        <v>109</v>
      </c>
      <c r="I134" s="242">
        <v>12</v>
      </c>
      <c r="J134" s="240"/>
      <c r="K134" s="242"/>
      <c r="L134" s="243"/>
      <c r="M134" s="244" t="s">
        <v>1176</v>
      </c>
      <c r="N134" s="245">
        <f>G134*I134</f>
        <v>1800000</v>
      </c>
      <c r="O134" s="235"/>
      <c r="P134" s="997"/>
      <c r="Q134" s="997"/>
      <c r="R134" s="246"/>
    </row>
    <row r="135" spans="1:21" ht="14.45" customHeight="1">
      <c r="A135" s="224"/>
      <c r="B135" s="225"/>
      <c r="C135" s="226"/>
      <c r="D135" s="521"/>
      <c r="E135" s="521"/>
      <c r="F135" s="998" t="s">
        <v>1266</v>
      </c>
      <c r="G135" s="252">
        <v>350000</v>
      </c>
      <c r="H135" s="240" t="s">
        <v>109</v>
      </c>
      <c r="I135" s="242">
        <v>12</v>
      </c>
      <c r="J135" s="240"/>
      <c r="K135" s="242"/>
      <c r="L135" s="243"/>
      <c r="M135" s="244" t="s">
        <v>1176</v>
      </c>
      <c r="N135" s="245">
        <f>G135*I135</f>
        <v>4200000</v>
      </c>
      <c r="O135" s="235"/>
      <c r="P135" s="997"/>
      <c r="Q135" s="997"/>
      <c r="R135" s="246"/>
    </row>
    <row r="136" spans="1:21" ht="14.45" customHeight="1">
      <c r="A136" s="224"/>
      <c r="B136" s="225"/>
      <c r="C136" s="226"/>
      <c r="D136" s="521"/>
      <c r="E136" s="521"/>
      <c r="F136" s="998" t="s">
        <v>1267</v>
      </c>
      <c r="G136" s="252">
        <v>1500000</v>
      </c>
      <c r="H136" s="240" t="s">
        <v>1175</v>
      </c>
      <c r="I136" s="242">
        <v>12</v>
      </c>
      <c r="J136" s="240"/>
      <c r="K136" s="242"/>
      <c r="L136" s="243"/>
      <c r="M136" s="244" t="s">
        <v>1176</v>
      </c>
      <c r="N136" s="245">
        <f>G136*I136</f>
        <v>18000000</v>
      </c>
      <c r="O136" s="235"/>
      <c r="P136" s="997"/>
      <c r="Q136" s="997"/>
      <c r="R136" s="246"/>
    </row>
    <row r="137" spans="1:21" ht="14.45" customHeight="1">
      <c r="A137" s="224"/>
      <c r="B137" s="225"/>
      <c r="C137" s="226"/>
      <c r="D137" s="521"/>
      <c r="E137" s="255" t="s">
        <v>1227</v>
      </c>
      <c r="F137" s="66"/>
      <c r="G137" s="228"/>
      <c r="H137" s="66"/>
      <c r="I137" s="66"/>
      <c r="J137" s="66"/>
      <c r="K137" s="66"/>
      <c r="L137" s="229"/>
      <c r="M137" s="230"/>
      <c r="N137" s="66"/>
      <c r="O137" s="171">
        <f>ROUNDUP(N138,-3)</f>
        <v>41080000</v>
      </c>
      <c r="P137" s="171">
        <v>35284000</v>
      </c>
      <c r="Q137" s="171">
        <f>+O137-P137</f>
        <v>5796000</v>
      </c>
      <c r="R137" s="172">
        <f>+Q137/P137</f>
        <v>0.16426708989910441</v>
      </c>
    </row>
    <row r="138" spans="1:21" ht="14.45" customHeight="1">
      <c r="A138" s="224"/>
      <c r="B138" s="225"/>
      <c r="C138" s="226"/>
      <c r="D138" s="521"/>
      <c r="E138" s="521"/>
      <c r="F138" s="240" t="s">
        <v>1268</v>
      </c>
      <c r="G138" s="249"/>
      <c r="H138" s="240"/>
      <c r="I138" s="240"/>
      <c r="J138" s="240"/>
      <c r="K138" s="240"/>
      <c r="L138" s="250"/>
      <c r="M138" s="244"/>
      <c r="N138" s="251">
        <f>SUM(N139:N150)</f>
        <v>41080000</v>
      </c>
      <c r="O138" s="235"/>
      <c r="P138" s="997"/>
      <c r="Q138" s="997"/>
      <c r="R138" s="246"/>
    </row>
    <row r="139" spans="1:21" ht="14.45" customHeight="1">
      <c r="A139" s="224"/>
      <c r="B139" s="225"/>
      <c r="C139" s="226"/>
      <c r="D139" s="521"/>
      <c r="E139" s="521"/>
      <c r="F139" s="998" t="s">
        <v>1269</v>
      </c>
      <c r="G139" s="252">
        <v>500000</v>
      </c>
      <c r="H139" s="240" t="s">
        <v>1175</v>
      </c>
      <c r="I139" s="242">
        <v>12</v>
      </c>
      <c r="J139" s="240"/>
      <c r="K139" s="242"/>
      <c r="L139" s="243"/>
      <c r="M139" s="244" t="s">
        <v>1176</v>
      </c>
      <c r="N139" s="245">
        <f t="shared" ref="N139:N149" si="3">G139*I139</f>
        <v>6000000</v>
      </c>
      <c r="O139" s="235"/>
      <c r="P139" s="997"/>
      <c r="Q139" s="997"/>
      <c r="R139" s="246"/>
    </row>
    <row r="140" spans="1:21" ht="14.45" customHeight="1">
      <c r="A140" s="224"/>
      <c r="B140" s="225"/>
      <c r="C140" s="226"/>
      <c r="D140" s="521"/>
      <c r="E140" s="521"/>
      <c r="F140" s="1653" t="s">
        <v>1270</v>
      </c>
      <c r="G140" s="249">
        <v>180000</v>
      </c>
      <c r="H140" s="240" t="s">
        <v>1175</v>
      </c>
      <c r="I140" s="242">
        <v>12</v>
      </c>
      <c r="J140" s="240"/>
      <c r="K140" s="242"/>
      <c r="L140" s="243"/>
      <c r="M140" s="244" t="s">
        <v>1176</v>
      </c>
      <c r="N140" s="245">
        <f t="shared" si="3"/>
        <v>2160000</v>
      </c>
      <c r="O140" s="235"/>
      <c r="P140" s="997"/>
      <c r="Q140" s="997"/>
      <c r="R140" s="246"/>
    </row>
    <row r="141" spans="1:21" ht="14.45" customHeight="1">
      <c r="A141" s="224"/>
      <c r="B141" s="225"/>
      <c r="C141" s="226"/>
      <c r="D141" s="521"/>
      <c r="E141" s="521"/>
      <c r="F141" s="1653" t="s">
        <v>1271</v>
      </c>
      <c r="G141" s="249">
        <v>220000</v>
      </c>
      <c r="H141" s="240" t="s">
        <v>1175</v>
      </c>
      <c r="I141" s="242">
        <v>4</v>
      </c>
      <c r="J141" s="240"/>
      <c r="K141" s="242"/>
      <c r="L141" s="243"/>
      <c r="M141" s="244" t="s">
        <v>1176</v>
      </c>
      <c r="N141" s="245">
        <f t="shared" si="3"/>
        <v>880000</v>
      </c>
      <c r="O141" s="235"/>
      <c r="P141" s="997"/>
      <c r="Q141" s="997"/>
      <c r="R141" s="246"/>
    </row>
    <row r="142" spans="1:21" ht="14.45" customHeight="1">
      <c r="A142" s="224"/>
      <c r="B142" s="225"/>
      <c r="C142" s="226"/>
      <c r="D142" s="521"/>
      <c r="E142" s="521"/>
      <c r="F142" s="1653" t="s">
        <v>1272</v>
      </c>
      <c r="G142" s="249">
        <v>110000</v>
      </c>
      <c r="H142" s="240" t="s">
        <v>1175</v>
      </c>
      <c r="I142" s="242">
        <v>12</v>
      </c>
      <c r="J142" s="240"/>
      <c r="K142" s="242"/>
      <c r="L142" s="243"/>
      <c r="M142" s="244" t="s">
        <v>1176</v>
      </c>
      <c r="N142" s="245">
        <f t="shared" si="3"/>
        <v>1320000</v>
      </c>
      <c r="O142" s="235"/>
      <c r="P142" s="997"/>
      <c r="Q142" s="997"/>
      <c r="R142" s="246"/>
      <c r="U142" s="275"/>
    </row>
    <row r="143" spans="1:21" ht="14.45" customHeight="1">
      <c r="A143" s="224"/>
      <c r="B143" s="225"/>
      <c r="C143" s="226"/>
      <c r="D143" s="521"/>
      <c r="E143" s="521"/>
      <c r="F143" s="1653" t="s">
        <v>1273</v>
      </c>
      <c r="G143" s="249">
        <v>100000</v>
      </c>
      <c r="H143" s="240" t="s">
        <v>1175</v>
      </c>
      <c r="I143" s="242">
        <v>12</v>
      </c>
      <c r="J143" s="240"/>
      <c r="K143" s="242"/>
      <c r="L143" s="243"/>
      <c r="M143" s="244" t="s">
        <v>1176</v>
      </c>
      <c r="N143" s="245">
        <f t="shared" si="3"/>
        <v>1200000</v>
      </c>
      <c r="O143" s="235"/>
      <c r="P143" s="997"/>
      <c r="Q143" s="997"/>
      <c r="R143" s="246"/>
    </row>
    <row r="144" spans="1:21" ht="14.45" customHeight="1">
      <c r="A144" s="224"/>
      <c r="B144" s="225"/>
      <c r="C144" s="226"/>
      <c r="D144" s="521"/>
      <c r="E144" s="521"/>
      <c r="F144" s="1653" t="s">
        <v>1274</v>
      </c>
      <c r="G144" s="249">
        <v>100000</v>
      </c>
      <c r="H144" s="240" t="s">
        <v>1175</v>
      </c>
      <c r="I144" s="242">
        <v>12</v>
      </c>
      <c r="J144" s="240"/>
      <c r="K144" s="242"/>
      <c r="L144" s="243"/>
      <c r="M144" s="244" t="s">
        <v>1176</v>
      </c>
      <c r="N144" s="245">
        <f t="shared" si="3"/>
        <v>1200000</v>
      </c>
      <c r="O144" s="235"/>
      <c r="P144" s="997"/>
      <c r="Q144" s="997"/>
      <c r="R144" s="246"/>
    </row>
    <row r="145" spans="1:21" ht="14.45" customHeight="1">
      <c r="A145" s="224"/>
      <c r="B145" s="225"/>
      <c r="C145" s="226"/>
      <c r="D145" s="521"/>
      <c r="E145" s="521"/>
      <c r="F145" s="1653" t="s">
        <v>1275</v>
      </c>
      <c r="G145" s="249">
        <v>300000</v>
      </c>
      <c r="H145" s="240" t="s">
        <v>1175</v>
      </c>
      <c r="I145" s="242">
        <v>12</v>
      </c>
      <c r="J145" s="240"/>
      <c r="K145" s="242"/>
      <c r="L145" s="243"/>
      <c r="M145" s="244" t="s">
        <v>1176</v>
      </c>
      <c r="N145" s="245">
        <f t="shared" si="3"/>
        <v>3600000</v>
      </c>
      <c r="O145" s="235"/>
      <c r="P145" s="997"/>
      <c r="Q145" s="997"/>
      <c r="R145" s="246"/>
    </row>
    <row r="146" spans="1:21" ht="14.45" customHeight="1">
      <c r="A146" s="224"/>
      <c r="B146" s="225"/>
      <c r="C146" s="226"/>
      <c r="D146" s="521"/>
      <c r="E146" s="521"/>
      <c r="F146" s="1653" t="s">
        <v>1276</v>
      </c>
      <c r="G146" s="249">
        <v>700000</v>
      </c>
      <c r="H146" s="240" t="s">
        <v>1175</v>
      </c>
      <c r="I146" s="256">
        <v>1</v>
      </c>
      <c r="J146" s="240"/>
      <c r="K146" s="242"/>
      <c r="L146" s="243"/>
      <c r="M146" s="244" t="s">
        <v>1176</v>
      </c>
      <c r="N146" s="245">
        <f t="shared" si="3"/>
        <v>700000</v>
      </c>
      <c r="O146" s="235"/>
      <c r="P146" s="997"/>
      <c r="Q146" s="997"/>
      <c r="R146" s="246"/>
    </row>
    <row r="147" spans="1:21" ht="14.45" customHeight="1">
      <c r="A147" s="224"/>
      <c r="B147" s="225"/>
      <c r="C147" s="226"/>
      <c r="D147" s="521"/>
      <c r="E147" s="521"/>
      <c r="F147" s="1653" t="s">
        <v>1277</v>
      </c>
      <c r="G147" s="249">
        <v>500000</v>
      </c>
      <c r="H147" s="240" t="s">
        <v>1175</v>
      </c>
      <c r="I147" s="256">
        <v>2</v>
      </c>
      <c r="J147" s="240"/>
      <c r="K147" s="242"/>
      <c r="L147" s="243"/>
      <c r="M147" s="244" t="s">
        <v>283</v>
      </c>
      <c r="N147" s="245">
        <f t="shared" si="3"/>
        <v>1000000</v>
      </c>
      <c r="O147" s="235"/>
      <c r="P147" s="997"/>
      <c r="Q147" s="997"/>
      <c r="R147" s="246"/>
    </row>
    <row r="148" spans="1:21" ht="14.45" customHeight="1">
      <c r="A148" s="224"/>
      <c r="B148" s="225"/>
      <c r="C148" s="226"/>
      <c r="D148" s="521"/>
      <c r="E148" s="521"/>
      <c r="F148" s="1653" t="s">
        <v>1278</v>
      </c>
      <c r="G148" s="249">
        <v>500000</v>
      </c>
      <c r="H148" s="240" t="s">
        <v>1175</v>
      </c>
      <c r="I148" s="256">
        <v>2</v>
      </c>
      <c r="J148" s="240"/>
      <c r="K148" s="242"/>
      <c r="L148" s="243"/>
      <c r="M148" s="244" t="s">
        <v>1176</v>
      </c>
      <c r="N148" s="245">
        <f t="shared" si="3"/>
        <v>1000000</v>
      </c>
      <c r="O148" s="235"/>
      <c r="P148" s="997"/>
      <c r="Q148" s="997"/>
      <c r="R148" s="246"/>
    </row>
    <row r="149" spans="1:21" ht="14.45" customHeight="1">
      <c r="A149" s="224"/>
      <c r="B149" s="225"/>
      <c r="C149" s="226"/>
      <c r="D149" s="521"/>
      <c r="E149" s="521"/>
      <c r="F149" s="1653" t="s">
        <v>1279</v>
      </c>
      <c r="G149" s="249">
        <v>20000000</v>
      </c>
      <c r="H149" s="240" t="s">
        <v>1175</v>
      </c>
      <c r="I149" s="256">
        <v>1</v>
      </c>
      <c r="J149" s="240"/>
      <c r="K149" s="242"/>
      <c r="L149" s="243"/>
      <c r="M149" s="244" t="s">
        <v>1176</v>
      </c>
      <c r="N149" s="245">
        <f t="shared" si="3"/>
        <v>20000000</v>
      </c>
      <c r="O149" s="235"/>
      <c r="P149" s="997"/>
      <c r="Q149" s="997"/>
      <c r="R149" s="246"/>
    </row>
    <row r="150" spans="1:21" ht="14.45" customHeight="1">
      <c r="A150" s="576"/>
      <c r="B150" s="278"/>
      <c r="C150" s="279"/>
      <c r="D150" s="1116"/>
      <c r="E150" s="1116"/>
      <c r="F150" s="1023" t="s">
        <v>1280</v>
      </c>
      <c r="G150" s="579">
        <v>505000</v>
      </c>
      <c r="H150" s="283" t="s">
        <v>109</v>
      </c>
      <c r="I150" s="284">
        <v>4</v>
      </c>
      <c r="J150" s="283"/>
      <c r="K150" s="284"/>
      <c r="L150" s="1402"/>
      <c r="M150" s="285" t="s">
        <v>1176</v>
      </c>
      <c r="N150" s="286">
        <f>G150*I150</f>
        <v>2020000</v>
      </c>
      <c r="O150" s="287"/>
      <c r="P150" s="1027"/>
      <c r="Q150" s="1027"/>
      <c r="R150" s="288"/>
    </row>
    <row r="151" spans="1:21" ht="14.45" customHeight="1">
      <c r="A151" s="224"/>
      <c r="B151" s="225"/>
      <c r="C151" s="226"/>
      <c r="D151" s="521"/>
      <c r="E151" s="1112" t="s">
        <v>1281</v>
      </c>
      <c r="F151" s="363"/>
      <c r="G151" s="365"/>
      <c r="H151" s="363"/>
      <c r="I151" s="363"/>
      <c r="J151" s="363"/>
      <c r="K151" s="363"/>
      <c r="L151" s="366"/>
      <c r="M151" s="367"/>
      <c r="N151" s="363"/>
      <c r="O151" s="188">
        <f>ROUNDUP(N152,-3)</f>
        <v>4300000</v>
      </c>
      <c r="P151" s="188">
        <v>3295000</v>
      </c>
      <c r="Q151" s="188">
        <f>+O151-P151</f>
        <v>1005000</v>
      </c>
      <c r="R151" s="570">
        <f>+Q151/P151</f>
        <v>0.30500758725341426</v>
      </c>
    </row>
    <row r="152" spans="1:21" ht="14.45" customHeight="1">
      <c r="A152" s="224"/>
      <c r="B152" s="225"/>
      <c r="C152" s="226"/>
      <c r="D152" s="521"/>
      <c r="E152" s="521"/>
      <c r="F152" s="240" t="s">
        <v>1282</v>
      </c>
      <c r="G152" s="249"/>
      <c r="H152" s="240"/>
      <c r="I152" s="240"/>
      <c r="J152" s="240"/>
      <c r="K152" s="240"/>
      <c r="L152" s="250"/>
      <c r="M152" s="244"/>
      <c r="N152" s="251">
        <f>SUM(N153:N155)</f>
        <v>4300000</v>
      </c>
      <c r="O152" s="235"/>
      <c r="P152" s="997"/>
      <c r="Q152" s="997"/>
      <c r="R152" s="246"/>
    </row>
    <row r="153" spans="1:21" ht="14.45" customHeight="1">
      <c r="A153" s="224"/>
      <c r="B153" s="225"/>
      <c r="C153" s="226"/>
      <c r="D153" s="521"/>
      <c r="E153" s="521"/>
      <c r="F153" s="998" t="s">
        <v>1283</v>
      </c>
      <c r="G153" s="252">
        <v>300000</v>
      </c>
      <c r="H153" s="240" t="s">
        <v>277</v>
      </c>
      <c r="I153" s="256">
        <v>1</v>
      </c>
      <c r="J153" s="240"/>
      <c r="K153" s="242"/>
      <c r="L153" s="243"/>
      <c r="M153" s="244" t="s">
        <v>283</v>
      </c>
      <c r="N153" s="245">
        <f>G153*I153</f>
        <v>300000</v>
      </c>
      <c r="O153" s="235"/>
      <c r="P153" s="997"/>
      <c r="Q153" s="997"/>
      <c r="R153" s="246"/>
    </row>
    <row r="154" spans="1:21" ht="14.45" customHeight="1">
      <c r="A154" s="224"/>
      <c r="B154" s="225"/>
      <c r="C154" s="226"/>
      <c r="D154" s="521"/>
      <c r="E154" s="521"/>
      <c r="F154" s="1653" t="s">
        <v>1284</v>
      </c>
      <c r="G154" s="249">
        <v>2000000</v>
      </c>
      <c r="H154" s="240" t="s">
        <v>1175</v>
      </c>
      <c r="I154" s="256">
        <v>1</v>
      </c>
      <c r="J154" s="240"/>
      <c r="K154" s="242"/>
      <c r="L154" s="243"/>
      <c r="M154" s="244" t="s">
        <v>1176</v>
      </c>
      <c r="N154" s="245">
        <f>G154*I154</f>
        <v>2000000</v>
      </c>
      <c r="O154" s="235"/>
      <c r="P154" s="997"/>
      <c r="Q154" s="997"/>
      <c r="R154" s="246"/>
    </row>
    <row r="155" spans="1:21" ht="14.45" customHeight="1">
      <c r="A155" s="224"/>
      <c r="B155" s="225"/>
      <c r="C155" s="226"/>
      <c r="D155" s="521"/>
      <c r="E155" s="521"/>
      <c r="F155" s="1653" t="s">
        <v>1285</v>
      </c>
      <c r="G155" s="249">
        <v>2000000</v>
      </c>
      <c r="H155" s="240" t="s">
        <v>1175</v>
      </c>
      <c r="I155" s="256">
        <v>1</v>
      </c>
      <c r="J155" s="240"/>
      <c r="K155" s="242"/>
      <c r="L155" s="243"/>
      <c r="M155" s="244" t="s">
        <v>283</v>
      </c>
      <c r="N155" s="245">
        <f>G155*I155</f>
        <v>2000000</v>
      </c>
      <c r="O155" s="235"/>
      <c r="P155" s="997"/>
      <c r="Q155" s="997"/>
      <c r="R155" s="246"/>
      <c r="U155" s="275"/>
    </row>
    <row r="156" spans="1:21" ht="14.45" customHeight="1">
      <c r="A156" s="224"/>
      <c r="B156" s="225"/>
      <c r="C156" s="226"/>
      <c r="D156" s="521"/>
      <c r="E156" s="255" t="s">
        <v>1230</v>
      </c>
      <c r="F156" s="66"/>
      <c r="G156" s="228"/>
      <c r="H156" s="66"/>
      <c r="I156" s="66"/>
      <c r="J156" s="66"/>
      <c r="K156" s="66"/>
      <c r="L156" s="229"/>
      <c r="M156" s="230"/>
      <c r="N156" s="66"/>
      <c r="O156" s="171">
        <f>ROUNDUP(N157,-3)</f>
        <v>18056000</v>
      </c>
      <c r="P156" s="171">
        <v>25156000</v>
      </c>
      <c r="Q156" s="171">
        <f>+O156-P156</f>
        <v>-7100000</v>
      </c>
      <c r="R156" s="172">
        <f>+Q156/P156</f>
        <v>-0.2822388297026554</v>
      </c>
    </row>
    <row r="157" spans="1:21" ht="14.45" customHeight="1">
      <c r="A157" s="224"/>
      <c r="B157" s="225"/>
      <c r="C157" s="226"/>
      <c r="D157" s="521"/>
      <c r="E157" s="521"/>
      <c r="F157" s="240" t="s">
        <v>1286</v>
      </c>
      <c r="G157" s="249"/>
      <c r="H157" s="240"/>
      <c r="I157" s="240"/>
      <c r="J157" s="240"/>
      <c r="K157" s="240"/>
      <c r="L157" s="250"/>
      <c r="M157" s="244"/>
      <c r="N157" s="251">
        <f>SUM(N158:N162)</f>
        <v>18056000</v>
      </c>
      <c r="O157" s="235"/>
      <c r="P157" s="997"/>
      <c r="Q157" s="997"/>
      <c r="R157" s="246"/>
    </row>
    <row r="158" spans="1:21" ht="14.45" customHeight="1">
      <c r="A158" s="224"/>
      <c r="B158" s="225"/>
      <c r="C158" s="226"/>
      <c r="D158" s="521"/>
      <c r="E158" s="521"/>
      <c r="F158" s="998" t="s">
        <v>1287</v>
      </c>
      <c r="G158" s="252">
        <v>150000</v>
      </c>
      <c r="H158" s="240" t="s">
        <v>277</v>
      </c>
      <c r="I158" s="256">
        <v>4</v>
      </c>
      <c r="J158" s="240"/>
      <c r="K158" s="242"/>
      <c r="L158" s="243"/>
      <c r="M158" s="244" t="s">
        <v>283</v>
      </c>
      <c r="N158" s="245">
        <f>G158*I158</f>
        <v>600000</v>
      </c>
      <c r="O158" s="235"/>
      <c r="P158" s="997"/>
      <c r="Q158" s="997"/>
      <c r="R158" s="246"/>
    </row>
    <row r="159" spans="1:21" ht="14.45" customHeight="1">
      <c r="A159" s="224"/>
      <c r="B159" s="225"/>
      <c r="C159" s="226"/>
      <c r="D159" s="521"/>
      <c r="E159" s="521"/>
      <c r="F159" s="998" t="s">
        <v>1288</v>
      </c>
      <c r="G159" s="252">
        <v>1000000</v>
      </c>
      <c r="H159" s="240" t="s">
        <v>1175</v>
      </c>
      <c r="I159" s="256">
        <v>1</v>
      </c>
      <c r="J159" s="240"/>
      <c r="K159" s="242"/>
      <c r="L159" s="243"/>
      <c r="M159" s="244" t="s">
        <v>1176</v>
      </c>
      <c r="N159" s="245">
        <f>G159*I159</f>
        <v>1000000</v>
      </c>
      <c r="O159" s="235"/>
      <c r="P159" s="997"/>
      <c r="Q159" s="997"/>
      <c r="R159" s="246"/>
      <c r="U159" s="275"/>
    </row>
    <row r="160" spans="1:21" ht="14.45" customHeight="1">
      <c r="A160" s="224"/>
      <c r="B160" s="225"/>
      <c r="C160" s="226"/>
      <c r="D160" s="521"/>
      <c r="E160" s="521"/>
      <c r="F160" s="998" t="s">
        <v>688</v>
      </c>
      <c r="G160" s="252">
        <v>1500000</v>
      </c>
      <c r="H160" s="240" t="s">
        <v>277</v>
      </c>
      <c r="I160" s="256">
        <v>1</v>
      </c>
      <c r="J160" s="240"/>
      <c r="K160" s="242"/>
      <c r="L160" s="243"/>
      <c r="M160" s="244" t="s">
        <v>283</v>
      </c>
      <c r="N160" s="245">
        <f>G160*I160</f>
        <v>1500000</v>
      </c>
      <c r="O160" s="235"/>
      <c r="P160" s="997"/>
      <c r="Q160" s="997"/>
      <c r="R160" s="246"/>
    </row>
    <row r="161" spans="1:21" ht="14.45" customHeight="1">
      <c r="A161" s="224"/>
      <c r="B161" s="225"/>
      <c r="C161" s="226"/>
      <c r="D161" s="521"/>
      <c r="E161" s="521"/>
      <c r="F161" s="247" t="s">
        <v>1289</v>
      </c>
      <c r="G161" s="249">
        <v>2000000</v>
      </c>
      <c r="H161" s="240" t="s">
        <v>277</v>
      </c>
      <c r="I161" s="265">
        <v>1</v>
      </c>
      <c r="J161" s="240"/>
      <c r="K161" s="242"/>
      <c r="L161" s="243"/>
      <c r="M161" s="244" t="s">
        <v>283</v>
      </c>
      <c r="N161" s="245">
        <f>G161*I161</f>
        <v>2000000</v>
      </c>
      <c r="O161" s="235"/>
      <c r="P161" s="997"/>
      <c r="Q161" s="997"/>
      <c r="R161" s="246"/>
    </row>
    <row r="162" spans="1:21" ht="14.45" customHeight="1">
      <c r="A162" s="224"/>
      <c r="B162" s="225"/>
      <c r="C162" s="226"/>
      <c r="D162" s="521"/>
      <c r="E162" s="521"/>
      <c r="F162" s="1653" t="s">
        <v>1290</v>
      </c>
      <c r="G162" s="249">
        <v>12956000</v>
      </c>
      <c r="H162" s="240" t="s">
        <v>277</v>
      </c>
      <c r="I162" s="265">
        <v>1</v>
      </c>
      <c r="J162" s="240"/>
      <c r="K162" s="242"/>
      <c r="L162" s="243"/>
      <c r="M162" s="244" t="s">
        <v>1176</v>
      </c>
      <c r="N162" s="245">
        <f>G162*I162</f>
        <v>12956000</v>
      </c>
      <c r="O162" s="235"/>
      <c r="P162" s="997"/>
      <c r="Q162" s="997"/>
      <c r="R162" s="246"/>
      <c r="T162" s="277"/>
    </row>
    <row r="163" spans="1:21" ht="14.45" customHeight="1">
      <c r="A163" s="224"/>
      <c r="B163" s="225"/>
      <c r="C163" s="226"/>
      <c r="D163" s="521"/>
      <c r="E163" s="255" t="s">
        <v>1291</v>
      </c>
      <c r="F163" s="66"/>
      <c r="G163" s="228"/>
      <c r="H163" s="66"/>
      <c r="I163" s="66"/>
      <c r="J163" s="66"/>
      <c r="K163" s="66"/>
      <c r="L163" s="229"/>
      <c r="M163" s="230"/>
      <c r="N163" s="66"/>
      <c r="O163" s="171">
        <f>ROUNDUP(N164,-3)</f>
        <v>9600000</v>
      </c>
      <c r="P163" s="171">
        <v>6800000</v>
      </c>
      <c r="Q163" s="171">
        <f>+O163-P163</f>
        <v>2800000</v>
      </c>
      <c r="R163" s="172">
        <f>+Q163/P163</f>
        <v>0.41176470588235292</v>
      </c>
    </row>
    <row r="164" spans="1:21" ht="14.45" customHeight="1">
      <c r="A164" s="224"/>
      <c r="B164" s="225"/>
      <c r="C164" s="226"/>
      <c r="D164" s="521"/>
      <c r="E164" s="521"/>
      <c r="F164" s="240" t="s">
        <v>2194</v>
      </c>
      <c r="G164" s="249"/>
      <c r="H164" s="240"/>
      <c r="I164" s="240"/>
      <c r="J164" s="240"/>
      <c r="K164" s="240"/>
      <c r="L164" s="250"/>
      <c r="M164" s="244"/>
      <c r="N164" s="251">
        <f>SUM(N165:N166)</f>
        <v>9600000</v>
      </c>
      <c r="O164" s="235"/>
      <c r="P164" s="997"/>
      <c r="Q164" s="997"/>
      <c r="R164" s="246"/>
    </row>
    <row r="165" spans="1:21" ht="14.45" customHeight="1">
      <c r="A165" s="224"/>
      <c r="B165" s="225"/>
      <c r="C165" s="226"/>
      <c r="D165" s="521"/>
      <c r="E165" s="521"/>
      <c r="F165" s="237" t="s">
        <v>2195</v>
      </c>
      <c r="G165" s="1567">
        <v>300000</v>
      </c>
      <c r="H165" s="226" t="s">
        <v>273</v>
      </c>
      <c r="I165" s="242">
        <v>12</v>
      </c>
      <c r="J165" s="240"/>
      <c r="K165" s="242"/>
      <c r="L165" s="243"/>
      <c r="M165" s="244" t="s">
        <v>274</v>
      </c>
      <c r="N165" s="245">
        <f>G165*I165</f>
        <v>3600000</v>
      </c>
      <c r="O165" s="235"/>
      <c r="P165" s="997"/>
      <c r="Q165" s="997"/>
      <c r="R165" s="246"/>
      <c r="U165" s="275"/>
    </row>
    <row r="166" spans="1:21" ht="14.45" customHeight="1">
      <c r="A166" s="224"/>
      <c r="B166" s="225"/>
      <c r="C166" s="226"/>
      <c r="D166" s="521"/>
      <c r="E166" s="521"/>
      <c r="F166" s="1653" t="s">
        <v>2519</v>
      </c>
      <c r="G166" s="249">
        <v>500000</v>
      </c>
      <c r="H166" s="240" t="s">
        <v>273</v>
      </c>
      <c r="I166" s="256">
        <v>12</v>
      </c>
      <c r="J166" s="240"/>
      <c r="K166" s="242"/>
      <c r="L166" s="243"/>
      <c r="M166" s="244" t="s">
        <v>2196</v>
      </c>
      <c r="N166" s="245">
        <f>G166*I166</f>
        <v>6000000</v>
      </c>
      <c r="O166" s="235"/>
      <c r="P166" s="997"/>
      <c r="Q166" s="997"/>
      <c r="R166" s="246"/>
    </row>
    <row r="167" spans="1:21" ht="14.45" customHeight="1">
      <c r="A167" s="224"/>
      <c r="B167" s="225"/>
      <c r="C167" s="226"/>
      <c r="D167" s="521"/>
      <c r="E167" s="255" t="s">
        <v>1292</v>
      </c>
      <c r="F167" s="66"/>
      <c r="G167" s="228"/>
      <c r="H167" s="66"/>
      <c r="I167" s="66"/>
      <c r="J167" s="66"/>
      <c r="K167" s="66"/>
      <c r="L167" s="229"/>
      <c r="M167" s="230"/>
      <c r="N167" s="66"/>
      <c r="O167" s="171">
        <f>ROUNDUP(N168,-3)</f>
        <v>4160000</v>
      </c>
      <c r="P167" s="171">
        <v>3600000</v>
      </c>
      <c r="Q167" s="171">
        <f>+O167-P167</f>
        <v>560000</v>
      </c>
      <c r="R167" s="172">
        <f>+Q167/P167</f>
        <v>0.15555555555555556</v>
      </c>
    </row>
    <row r="168" spans="1:21" ht="14.45" customHeight="1">
      <c r="A168" s="224"/>
      <c r="B168" s="225"/>
      <c r="C168" s="226"/>
      <c r="D168" s="521"/>
      <c r="E168" s="521"/>
      <c r="F168" s="240" t="s">
        <v>2240</v>
      </c>
      <c r="G168" s="249"/>
      <c r="H168" s="240"/>
      <c r="I168" s="240"/>
      <c r="J168" s="240"/>
      <c r="K168" s="240"/>
      <c r="L168" s="250"/>
      <c r="M168" s="244"/>
      <c r="N168" s="251">
        <f>SUM(N169:N170)</f>
        <v>4160000</v>
      </c>
      <c r="O168" s="235"/>
      <c r="P168" s="997"/>
      <c r="Q168" s="997"/>
      <c r="R168" s="246"/>
    </row>
    <row r="169" spans="1:21" ht="14.45" customHeight="1">
      <c r="A169" s="224"/>
      <c r="B169" s="225"/>
      <c r="C169" s="226"/>
      <c r="D169" s="521"/>
      <c r="E169" s="521"/>
      <c r="F169" s="1653" t="s">
        <v>2241</v>
      </c>
      <c r="G169" s="249">
        <v>80000</v>
      </c>
      <c r="H169" s="240" t="s">
        <v>2242</v>
      </c>
      <c r="I169" s="241">
        <v>22</v>
      </c>
      <c r="J169" s="240"/>
      <c r="K169" s="242"/>
      <c r="L169" s="250"/>
      <c r="M169" s="244" t="s">
        <v>2197</v>
      </c>
      <c r="N169" s="245">
        <f>G169*I169</f>
        <v>1760000</v>
      </c>
      <c r="O169" s="235"/>
      <c r="P169" s="997"/>
      <c r="Q169" s="997"/>
      <c r="R169" s="246"/>
      <c r="U169" s="275"/>
    </row>
    <row r="170" spans="1:21" ht="14.45" customHeight="1">
      <c r="A170" s="224"/>
      <c r="B170" s="225"/>
      <c r="C170" s="226"/>
      <c r="D170" s="521"/>
      <c r="E170" s="521"/>
      <c r="F170" s="1653" t="s">
        <v>2243</v>
      </c>
      <c r="G170" s="249">
        <v>100000</v>
      </c>
      <c r="H170" s="240" t="s">
        <v>2207</v>
      </c>
      <c r="I170" s="1659">
        <v>2</v>
      </c>
      <c r="J170" s="240" t="s">
        <v>2207</v>
      </c>
      <c r="K170" s="242">
        <v>12</v>
      </c>
      <c r="L170" s="243"/>
      <c r="M170" s="244" t="s">
        <v>2197</v>
      </c>
      <c r="N170" s="245">
        <f>G170*I170*K170</f>
        <v>2400000</v>
      </c>
      <c r="O170" s="235"/>
      <c r="P170" s="997"/>
      <c r="Q170" s="997"/>
      <c r="R170" s="246"/>
    </row>
    <row r="171" spans="1:21" ht="14.45" customHeight="1">
      <c r="A171" s="224"/>
      <c r="B171" s="225"/>
      <c r="C171" s="226"/>
      <c r="D171" s="521"/>
      <c r="E171" s="255" t="s">
        <v>1293</v>
      </c>
      <c r="F171" s="66"/>
      <c r="G171" s="228"/>
      <c r="H171" s="66"/>
      <c r="I171" s="66"/>
      <c r="J171" s="66"/>
      <c r="K171" s="66"/>
      <c r="L171" s="229"/>
      <c r="M171" s="230"/>
      <c r="N171" s="66"/>
      <c r="O171" s="171">
        <f>ROUNDUP(N172,-3)</f>
        <v>4600000</v>
      </c>
      <c r="P171" s="171">
        <v>3600000</v>
      </c>
      <c r="Q171" s="171">
        <f>+O171-P171</f>
        <v>1000000</v>
      </c>
      <c r="R171" s="172">
        <f>+Q171/P171</f>
        <v>0.27777777777777779</v>
      </c>
    </row>
    <row r="172" spans="1:21" ht="14.45" customHeight="1">
      <c r="A172" s="224"/>
      <c r="B172" s="225"/>
      <c r="C172" s="226"/>
      <c r="D172" s="521"/>
      <c r="E172" s="521"/>
      <c r="F172" s="240" t="s">
        <v>1294</v>
      </c>
      <c r="G172" s="249"/>
      <c r="H172" s="240"/>
      <c r="I172" s="240"/>
      <c r="J172" s="240"/>
      <c r="K172" s="240"/>
      <c r="L172" s="250"/>
      <c r="M172" s="244"/>
      <c r="N172" s="251">
        <f>SUM(N173:N174)</f>
        <v>4600000</v>
      </c>
      <c r="O172" s="235"/>
      <c r="P172" s="997"/>
      <c r="Q172" s="997"/>
      <c r="R172" s="246"/>
    </row>
    <row r="173" spans="1:21" ht="14.45" customHeight="1">
      <c r="A173" s="224"/>
      <c r="B173" s="225"/>
      <c r="C173" s="226"/>
      <c r="D173" s="521"/>
      <c r="E173" s="521"/>
      <c r="F173" s="998" t="s">
        <v>2520</v>
      </c>
      <c r="G173" s="249">
        <v>1000000</v>
      </c>
      <c r="H173" s="240" t="s">
        <v>277</v>
      </c>
      <c r="I173" s="265">
        <v>1</v>
      </c>
      <c r="J173" s="240"/>
      <c r="K173" s="240"/>
      <c r="L173" s="250"/>
      <c r="M173" s="244" t="s">
        <v>1176</v>
      </c>
      <c r="N173" s="245">
        <f>G173*I173</f>
        <v>1000000</v>
      </c>
      <c r="O173" s="235"/>
      <c r="P173" s="997"/>
      <c r="Q173" s="997"/>
      <c r="R173" s="246"/>
    </row>
    <row r="174" spans="1:21" ht="14.45" customHeight="1">
      <c r="A174" s="224"/>
      <c r="B174" s="225"/>
      <c r="C174" s="226"/>
      <c r="D174" s="521"/>
      <c r="E174" s="521"/>
      <c r="F174" s="998" t="s">
        <v>1295</v>
      </c>
      <c r="G174" s="252">
        <v>300000</v>
      </c>
      <c r="H174" s="240" t="s">
        <v>277</v>
      </c>
      <c r="I174" s="256">
        <v>12</v>
      </c>
      <c r="J174" s="240"/>
      <c r="K174" s="242"/>
      <c r="L174" s="243"/>
      <c r="M174" s="244" t="s">
        <v>283</v>
      </c>
      <c r="N174" s="245">
        <f>G174*I174</f>
        <v>3600000</v>
      </c>
      <c r="O174" s="235"/>
      <c r="P174" s="997"/>
      <c r="Q174" s="997"/>
      <c r="R174" s="246"/>
    </row>
    <row r="175" spans="1:21" ht="14.45" customHeight="1">
      <c r="A175" s="224"/>
      <c r="B175" s="225"/>
      <c r="C175" s="226"/>
      <c r="D175" s="521"/>
      <c r="E175" s="255" t="s">
        <v>1296</v>
      </c>
      <c r="F175" s="66"/>
      <c r="G175" s="228"/>
      <c r="H175" s="66"/>
      <c r="I175" s="66"/>
      <c r="J175" s="66"/>
      <c r="K175" s="66"/>
      <c r="L175" s="229"/>
      <c r="M175" s="230"/>
      <c r="N175" s="66"/>
      <c r="O175" s="171">
        <f>ROUNDUP(N176,-3)</f>
        <v>7000000</v>
      </c>
      <c r="P175" s="171">
        <v>6000000</v>
      </c>
      <c r="Q175" s="171">
        <f>+O175-P175</f>
        <v>1000000</v>
      </c>
      <c r="R175" s="172">
        <f>+Q175/P175</f>
        <v>0.16666666666666666</v>
      </c>
    </row>
    <row r="176" spans="1:21" ht="14.45" customHeight="1">
      <c r="A176" s="224"/>
      <c r="B176" s="225"/>
      <c r="C176" s="226"/>
      <c r="D176" s="521"/>
      <c r="E176" s="521"/>
      <c r="F176" s="240" t="s">
        <v>1297</v>
      </c>
      <c r="G176" s="249"/>
      <c r="H176" s="240"/>
      <c r="I176" s="240"/>
      <c r="J176" s="240"/>
      <c r="K176" s="240"/>
      <c r="L176" s="250"/>
      <c r="M176" s="244"/>
      <c r="N176" s="251">
        <f>SUM(N177:N178)</f>
        <v>7000000</v>
      </c>
      <c r="O176" s="235"/>
      <c r="P176" s="997"/>
      <c r="Q176" s="997"/>
      <c r="R176" s="246"/>
      <c r="U176" s="275"/>
    </row>
    <row r="177" spans="1:29" ht="14.45" customHeight="1">
      <c r="A177" s="224"/>
      <c r="B177" s="225"/>
      <c r="C177" s="226"/>
      <c r="D177" s="521"/>
      <c r="E177" s="521"/>
      <c r="F177" s="998" t="s">
        <v>1298</v>
      </c>
      <c r="G177" s="252">
        <v>2000000</v>
      </c>
      <c r="H177" s="240" t="s">
        <v>1175</v>
      </c>
      <c r="I177" s="265">
        <v>1</v>
      </c>
      <c r="J177" s="240"/>
      <c r="K177" s="242"/>
      <c r="L177" s="243"/>
      <c r="M177" s="244" t="s">
        <v>1299</v>
      </c>
      <c r="N177" s="245">
        <f>G177*I177</f>
        <v>2000000</v>
      </c>
      <c r="O177" s="235"/>
      <c r="P177" s="997"/>
      <c r="Q177" s="997"/>
      <c r="R177" s="246"/>
    </row>
    <row r="178" spans="1:29" ht="14.45" customHeight="1">
      <c r="A178" s="224"/>
      <c r="B178" s="225"/>
      <c r="C178" s="226"/>
      <c r="D178" s="521"/>
      <c r="E178" s="521"/>
      <c r="F178" s="1653" t="s">
        <v>1300</v>
      </c>
      <c r="G178" s="249">
        <v>5000000</v>
      </c>
      <c r="H178" s="240" t="s">
        <v>1301</v>
      </c>
      <c r="I178" s="265">
        <v>1</v>
      </c>
      <c r="J178" s="240"/>
      <c r="K178" s="242"/>
      <c r="L178" s="243"/>
      <c r="M178" s="244" t="s">
        <v>283</v>
      </c>
      <c r="N178" s="245">
        <f>G178*I178</f>
        <v>5000000</v>
      </c>
      <c r="O178" s="235"/>
      <c r="P178" s="997"/>
      <c r="Q178" s="997"/>
      <c r="R178" s="246"/>
    </row>
    <row r="179" spans="1:29" ht="14.45" customHeight="1">
      <c r="A179" s="224"/>
      <c r="B179" s="225"/>
      <c r="C179" s="226"/>
      <c r="D179" s="521"/>
      <c r="E179" s="255" t="s">
        <v>1302</v>
      </c>
      <c r="F179" s="66"/>
      <c r="G179" s="228"/>
      <c r="H179" s="66"/>
      <c r="I179" s="66"/>
      <c r="J179" s="66"/>
      <c r="K179" s="66"/>
      <c r="L179" s="229"/>
      <c r="M179" s="230"/>
      <c r="N179" s="66"/>
      <c r="O179" s="171">
        <f>ROUNDUP(N180,-3)</f>
        <v>21000000</v>
      </c>
      <c r="P179" s="171">
        <v>5000000</v>
      </c>
      <c r="Q179" s="171">
        <f>+O179-P179</f>
        <v>16000000</v>
      </c>
      <c r="R179" s="172">
        <f>+Q179/P179</f>
        <v>3.2</v>
      </c>
    </row>
    <row r="180" spans="1:29" ht="14.45" customHeight="1">
      <c r="A180" s="224"/>
      <c r="B180" s="225"/>
      <c r="C180" s="226"/>
      <c r="D180" s="521"/>
      <c r="E180" s="521"/>
      <c r="F180" s="90" t="s">
        <v>2288</v>
      </c>
      <c r="G180" s="97"/>
      <c r="H180" s="90"/>
      <c r="I180" s="90"/>
      <c r="J180" s="90"/>
      <c r="K180" s="90"/>
      <c r="L180" s="98"/>
      <c r="M180" s="99"/>
      <c r="N180" s="100">
        <f>SUM(N181:N188)</f>
        <v>21000000</v>
      </c>
      <c r="O180" s="235"/>
      <c r="P180" s="997"/>
      <c r="Q180" s="997"/>
      <c r="R180" s="246"/>
    </row>
    <row r="181" spans="1:29" ht="14.45" customHeight="1">
      <c r="A181" s="224"/>
      <c r="B181" s="225"/>
      <c r="C181" s="226"/>
      <c r="D181" s="521"/>
      <c r="E181" s="521"/>
      <c r="F181" s="122" t="s">
        <v>2289</v>
      </c>
      <c r="G181" s="136">
        <v>800000</v>
      </c>
      <c r="H181" s="90" t="s">
        <v>2290</v>
      </c>
      <c r="I181" s="1660">
        <v>5</v>
      </c>
      <c r="J181" s="90"/>
      <c r="K181" s="137"/>
      <c r="L181" s="138"/>
      <c r="M181" s="99" t="s">
        <v>2291</v>
      </c>
      <c r="N181" s="139">
        <f>G181*I181</f>
        <v>4000000</v>
      </c>
      <c r="O181" s="235"/>
      <c r="P181" s="997"/>
      <c r="Q181" s="997"/>
      <c r="R181" s="246"/>
      <c r="U181" s="275"/>
    </row>
    <row r="182" spans="1:29" ht="14.45" customHeight="1">
      <c r="A182" s="224"/>
      <c r="B182" s="225"/>
      <c r="C182" s="226"/>
      <c r="D182" s="521"/>
      <c r="E182" s="521"/>
      <c r="F182" s="122" t="s">
        <v>2292</v>
      </c>
      <c r="G182" s="136">
        <v>500000</v>
      </c>
      <c r="H182" s="90" t="s">
        <v>2293</v>
      </c>
      <c r="I182" s="1660">
        <v>4</v>
      </c>
      <c r="J182" s="90"/>
      <c r="K182" s="137"/>
      <c r="L182" s="138"/>
      <c r="M182" s="99" t="s">
        <v>274</v>
      </c>
      <c r="N182" s="139">
        <f>G182*I182</f>
        <v>2000000</v>
      </c>
      <c r="O182" s="235"/>
      <c r="P182" s="997"/>
      <c r="Q182" s="997"/>
      <c r="R182" s="246"/>
    </row>
    <row r="183" spans="1:29" ht="14.45" customHeight="1">
      <c r="A183" s="224"/>
      <c r="B183" s="225"/>
      <c r="C183" s="226"/>
      <c r="D183" s="521"/>
      <c r="E183" s="521"/>
      <c r="F183" s="103" t="s">
        <v>2294</v>
      </c>
      <c r="G183" s="97">
        <v>2000000</v>
      </c>
      <c r="H183" s="90" t="s">
        <v>2290</v>
      </c>
      <c r="I183" s="1660">
        <v>1</v>
      </c>
      <c r="J183" s="90"/>
      <c r="K183" s="137"/>
      <c r="L183" s="138"/>
      <c r="M183" s="99" t="s">
        <v>2295</v>
      </c>
      <c r="N183" s="139">
        <f t="shared" ref="N183:N188" si="4">G183*I183</f>
        <v>2000000</v>
      </c>
      <c r="O183" s="235"/>
      <c r="P183" s="997"/>
      <c r="Q183" s="997"/>
      <c r="R183" s="246"/>
      <c r="U183" s="275"/>
    </row>
    <row r="184" spans="1:29" ht="14.45" customHeight="1">
      <c r="A184" s="224"/>
      <c r="B184" s="225"/>
      <c r="C184" s="226"/>
      <c r="D184" s="521"/>
      <c r="E184" s="521"/>
      <c r="F184" s="103" t="s">
        <v>2296</v>
      </c>
      <c r="G184" s="97">
        <v>4600000</v>
      </c>
      <c r="H184" s="90" t="s">
        <v>1880</v>
      </c>
      <c r="I184" s="1660">
        <v>1</v>
      </c>
      <c r="J184" s="90"/>
      <c r="K184" s="137"/>
      <c r="L184" s="138"/>
      <c r="M184" s="99" t="s">
        <v>2297</v>
      </c>
      <c r="N184" s="139">
        <f t="shared" si="4"/>
        <v>4600000</v>
      </c>
      <c r="O184" s="235"/>
      <c r="P184" s="997"/>
      <c r="Q184" s="997"/>
      <c r="R184" s="246"/>
    </row>
    <row r="185" spans="1:29" ht="14.45" customHeight="1">
      <c r="A185" s="224"/>
      <c r="B185" s="225"/>
      <c r="C185" s="226"/>
      <c r="D185" s="521"/>
      <c r="E185" s="521"/>
      <c r="F185" s="103" t="s">
        <v>2298</v>
      </c>
      <c r="G185" s="97">
        <v>3000000</v>
      </c>
      <c r="H185" s="90" t="s">
        <v>2290</v>
      </c>
      <c r="I185" s="1660">
        <v>1</v>
      </c>
      <c r="J185" s="90"/>
      <c r="K185" s="137"/>
      <c r="L185" s="138"/>
      <c r="M185" s="99" t="s">
        <v>274</v>
      </c>
      <c r="N185" s="139">
        <f t="shared" si="4"/>
        <v>3000000</v>
      </c>
      <c r="O185" s="235"/>
      <c r="P185" s="997"/>
      <c r="Q185" s="997"/>
      <c r="R185" s="246"/>
      <c r="U185" s="275"/>
    </row>
    <row r="186" spans="1:29" ht="14.45" customHeight="1">
      <c r="A186" s="224"/>
      <c r="B186" s="225"/>
      <c r="C186" s="226"/>
      <c r="D186" s="521"/>
      <c r="E186" s="521"/>
      <c r="F186" s="103" t="s">
        <v>2299</v>
      </c>
      <c r="G186" s="97">
        <v>2200000</v>
      </c>
      <c r="H186" s="90" t="s">
        <v>2290</v>
      </c>
      <c r="I186" s="1660">
        <v>1</v>
      </c>
      <c r="J186" s="90"/>
      <c r="K186" s="137"/>
      <c r="L186" s="138"/>
      <c r="M186" s="99" t="s">
        <v>274</v>
      </c>
      <c r="N186" s="139">
        <f t="shared" si="4"/>
        <v>2200000</v>
      </c>
      <c r="O186" s="235"/>
      <c r="P186" s="997"/>
      <c r="Q186" s="997"/>
      <c r="R186" s="246"/>
    </row>
    <row r="187" spans="1:29" ht="14.45" customHeight="1">
      <c r="A187" s="224"/>
      <c r="B187" s="225"/>
      <c r="C187" s="226"/>
      <c r="D187" s="521"/>
      <c r="E187" s="521"/>
      <c r="F187" s="103" t="s">
        <v>2300</v>
      </c>
      <c r="G187" s="97">
        <v>2600000</v>
      </c>
      <c r="H187" s="90" t="s">
        <v>273</v>
      </c>
      <c r="I187" s="1660">
        <v>1</v>
      </c>
      <c r="J187" s="90"/>
      <c r="K187" s="137"/>
      <c r="L187" s="138"/>
      <c r="M187" s="99" t="s">
        <v>274</v>
      </c>
      <c r="N187" s="139">
        <f t="shared" si="4"/>
        <v>2600000</v>
      </c>
      <c r="O187" s="235"/>
      <c r="P187" s="997"/>
      <c r="Q187" s="997"/>
      <c r="R187" s="246"/>
      <c r="U187" s="275"/>
    </row>
    <row r="188" spans="1:29" ht="14.45" customHeight="1">
      <c r="A188" s="576"/>
      <c r="B188" s="278"/>
      <c r="C188" s="279"/>
      <c r="D188" s="1116"/>
      <c r="E188" s="1116"/>
      <c r="F188" s="1441" t="s">
        <v>2301</v>
      </c>
      <c r="G188" s="1661">
        <v>600000</v>
      </c>
      <c r="H188" s="563" t="s">
        <v>273</v>
      </c>
      <c r="I188" s="1662">
        <v>1</v>
      </c>
      <c r="J188" s="563"/>
      <c r="K188" s="1455"/>
      <c r="L188" s="1456"/>
      <c r="M188" s="1457" t="s">
        <v>274</v>
      </c>
      <c r="N188" s="1458">
        <f t="shared" si="4"/>
        <v>600000</v>
      </c>
      <c r="O188" s="287"/>
      <c r="P188" s="1027"/>
      <c r="Q188" s="1027"/>
      <c r="R188" s="288"/>
    </row>
    <row r="189" spans="1:29" ht="14.45" customHeight="1">
      <c r="A189" s="224"/>
      <c r="B189" s="225"/>
      <c r="C189" s="226"/>
      <c r="D189" s="554" t="s">
        <v>1303</v>
      </c>
      <c r="E189" s="554"/>
      <c r="F189" s="557"/>
      <c r="G189" s="556"/>
      <c r="H189" s="557"/>
      <c r="I189" s="557"/>
      <c r="J189" s="557"/>
      <c r="K189" s="557"/>
      <c r="L189" s="558"/>
      <c r="M189" s="559"/>
      <c r="N189" s="557"/>
      <c r="O189" s="560">
        <f>ROUNDUP(O190+O283+O423+O427+O430+O433,-3)</f>
        <v>639298000</v>
      </c>
      <c r="P189" s="560">
        <v>320844000</v>
      </c>
      <c r="Q189" s="560">
        <f>+O189-P189</f>
        <v>318454000</v>
      </c>
      <c r="R189" s="1578">
        <f>+Q189/P189</f>
        <v>0.99255089700913834</v>
      </c>
    </row>
    <row r="190" spans="1:29" ht="14.45" customHeight="1">
      <c r="A190" s="224"/>
      <c r="B190" s="225"/>
      <c r="C190" s="226"/>
      <c r="D190" s="521"/>
      <c r="E190" s="255" t="s">
        <v>1304</v>
      </c>
      <c r="F190" s="1663"/>
      <c r="G190" s="1664"/>
      <c r="H190" s="1663"/>
      <c r="I190" s="1663"/>
      <c r="J190" s="1663"/>
      <c r="K190" s="1663"/>
      <c r="L190" s="1665"/>
      <c r="M190" s="1666"/>
      <c r="N190" s="1667"/>
      <c r="O190" s="171">
        <f>ROUNDUP(N191+N194+N197+N200+N205+N208+N211+N216+N220+N224+N227+N230+N233+N236+N239+N242+N245+N248+N251+N254+N257+N260+N263+N266+N271+N274+N277+N280,-3)</f>
        <v>261628000</v>
      </c>
      <c r="P190" s="1668">
        <v>0</v>
      </c>
      <c r="Q190" s="1668">
        <f>+O190-P190</f>
        <v>261628000</v>
      </c>
      <c r="R190" s="1669">
        <v>1</v>
      </c>
    </row>
    <row r="191" spans="1:29" ht="14.45" customHeight="1">
      <c r="A191" s="224"/>
      <c r="B191" s="225"/>
      <c r="C191" s="226"/>
      <c r="D191" s="521"/>
      <c r="E191" s="521"/>
      <c r="F191" s="231" t="s">
        <v>1305</v>
      </c>
      <c r="G191" s="252"/>
      <c r="H191" s="240"/>
      <c r="I191" s="241"/>
      <c r="J191" s="240"/>
      <c r="K191" s="256"/>
      <c r="L191" s="243"/>
      <c r="M191" s="244"/>
      <c r="N191" s="234">
        <f>SUM(N192:N193)</f>
        <v>15600000</v>
      </c>
      <c r="O191" s="235"/>
      <c r="P191" s="997"/>
      <c r="Q191" s="997"/>
      <c r="R191" s="246"/>
      <c r="T191" s="252"/>
      <c r="U191" s="240"/>
      <c r="V191" s="241"/>
      <c r="W191" s="240"/>
      <c r="X191" s="256"/>
      <c r="Y191" s="243"/>
      <c r="Z191" s="244"/>
      <c r="AA191" s="234"/>
      <c r="AC191" s="1031"/>
    </row>
    <row r="192" spans="1:29" ht="14.45" customHeight="1">
      <c r="A192" s="224"/>
      <c r="B192" s="225"/>
      <c r="C192" s="226"/>
      <c r="D192" s="521"/>
      <c r="E192" s="521"/>
      <c r="F192" s="248" t="s">
        <v>1236</v>
      </c>
      <c r="G192" s="252">
        <v>1200000</v>
      </c>
      <c r="H192" s="240" t="s">
        <v>1175</v>
      </c>
      <c r="I192" s="242">
        <v>12</v>
      </c>
      <c r="J192" s="240"/>
      <c r="K192" s="256"/>
      <c r="L192" s="243"/>
      <c r="M192" s="244" t="s">
        <v>1176</v>
      </c>
      <c r="N192" s="1570">
        <f>G192*I192</f>
        <v>14400000</v>
      </c>
      <c r="O192" s="235"/>
      <c r="P192" s="997"/>
      <c r="Q192" s="997"/>
      <c r="R192" s="246"/>
      <c r="T192" s="252"/>
      <c r="U192" s="240"/>
      <c r="V192" s="242"/>
      <c r="W192" s="240"/>
      <c r="X192" s="256"/>
      <c r="Y192" s="243"/>
      <c r="Z192" s="244"/>
      <c r="AA192" s="1570"/>
      <c r="AC192" s="1031"/>
    </row>
    <row r="193" spans="1:29" ht="14.45" customHeight="1">
      <c r="A193" s="224"/>
      <c r="B193" s="225"/>
      <c r="C193" s="226"/>
      <c r="D193" s="521"/>
      <c r="E193" s="521"/>
      <c r="F193" s="248" t="s">
        <v>1239</v>
      </c>
      <c r="G193" s="252">
        <v>100000</v>
      </c>
      <c r="H193" s="240" t="s">
        <v>1175</v>
      </c>
      <c r="I193" s="242">
        <v>12</v>
      </c>
      <c r="J193" s="240"/>
      <c r="K193" s="256"/>
      <c r="L193" s="243"/>
      <c r="M193" s="244" t="s">
        <v>1176</v>
      </c>
      <c r="N193" s="1570">
        <f>G193*I193</f>
        <v>1200000</v>
      </c>
      <c r="O193" s="235"/>
      <c r="P193" s="997"/>
      <c r="Q193" s="997"/>
      <c r="R193" s="246"/>
      <c r="T193" s="252"/>
      <c r="U193" s="240"/>
      <c r="V193" s="242"/>
      <c r="W193" s="240"/>
      <c r="X193" s="256"/>
      <c r="Y193" s="243"/>
      <c r="Z193" s="244"/>
      <c r="AA193" s="1570"/>
      <c r="AC193" s="1031"/>
    </row>
    <row r="194" spans="1:29" ht="14.45" customHeight="1">
      <c r="A194" s="224"/>
      <c r="B194" s="225"/>
      <c r="C194" s="226"/>
      <c r="D194" s="521"/>
      <c r="E194" s="521"/>
      <c r="F194" s="231" t="s">
        <v>1306</v>
      </c>
      <c r="G194" s="252"/>
      <c r="H194" s="240"/>
      <c r="I194" s="241"/>
      <c r="J194" s="240"/>
      <c r="K194" s="256"/>
      <c r="L194" s="243"/>
      <c r="M194" s="244"/>
      <c r="N194" s="234">
        <f>SUM(N195:N196)</f>
        <v>8400000</v>
      </c>
      <c r="O194" s="235"/>
      <c r="P194" s="997"/>
      <c r="Q194" s="997"/>
      <c r="R194" s="246"/>
      <c r="T194" s="252"/>
      <c r="U194" s="240"/>
      <c r="V194" s="241"/>
      <c r="W194" s="240"/>
      <c r="X194" s="256"/>
      <c r="Y194" s="243"/>
      <c r="Z194" s="244"/>
      <c r="AA194" s="234"/>
      <c r="AC194" s="1031"/>
    </row>
    <row r="195" spans="1:29" ht="14.45" customHeight="1">
      <c r="A195" s="224"/>
      <c r="B195" s="225"/>
      <c r="C195" s="226"/>
      <c r="D195" s="521"/>
      <c r="E195" s="521"/>
      <c r="F195" s="248" t="s">
        <v>949</v>
      </c>
      <c r="G195" s="252">
        <v>600000</v>
      </c>
      <c r="H195" s="240" t="s">
        <v>1175</v>
      </c>
      <c r="I195" s="242">
        <v>12</v>
      </c>
      <c r="J195" s="240"/>
      <c r="K195" s="256"/>
      <c r="L195" s="243"/>
      <c r="M195" s="244" t="s">
        <v>1176</v>
      </c>
      <c r="N195" s="1570">
        <f>G195*I195</f>
        <v>7200000</v>
      </c>
      <c r="O195" s="235"/>
      <c r="P195" s="997"/>
      <c r="Q195" s="997"/>
      <c r="R195" s="246"/>
      <c r="T195" s="252"/>
      <c r="U195" s="240"/>
      <c r="V195" s="242"/>
      <c r="W195" s="240"/>
      <c r="X195" s="256"/>
      <c r="Y195" s="243"/>
      <c r="Z195" s="244"/>
      <c r="AA195" s="1570"/>
      <c r="AC195" s="1031"/>
    </row>
    <row r="196" spans="1:29" ht="14.45" customHeight="1">
      <c r="A196" s="224"/>
      <c r="B196" s="225"/>
      <c r="C196" s="226"/>
      <c r="D196" s="521"/>
      <c r="E196" s="521"/>
      <c r="F196" s="248" t="s">
        <v>1239</v>
      </c>
      <c r="G196" s="252">
        <v>100000</v>
      </c>
      <c r="H196" s="240" t="s">
        <v>1175</v>
      </c>
      <c r="I196" s="242">
        <v>12</v>
      </c>
      <c r="J196" s="240"/>
      <c r="K196" s="256"/>
      <c r="L196" s="243"/>
      <c r="M196" s="244" t="s">
        <v>1176</v>
      </c>
      <c r="N196" s="1570">
        <f>G196*I196</f>
        <v>1200000</v>
      </c>
      <c r="O196" s="235"/>
      <c r="P196" s="997"/>
      <c r="Q196" s="997"/>
      <c r="R196" s="246"/>
      <c r="T196" s="252"/>
      <c r="U196" s="240"/>
      <c r="V196" s="242"/>
      <c r="W196" s="240"/>
      <c r="X196" s="256"/>
      <c r="Y196" s="243"/>
      <c r="Z196" s="244"/>
      <c r="AA196" s="1570"/>
      <c r="AC196" s="1031"/>
    </row>
    <row r="197" spans="1:29" ht="14.45" customHeight="1">
      <c r="A197" s="224"/>
      <c r="B197" s="225"/>
      <c r="C197" s="226"/>
      <c r="D197" s="521"/>
      <c r="E197" s="521"/>
      <c r="F197" s="231" t="s">
        <v>1307</v>
      </c>
      <c r="G197" s="252"/>
      <c r="H197" s="240"/>
      <c r="I197" s="241"/>
      <c r="J197" s="240"/>
      <c r="K197" s="256"/>
      <c r="L197" s="243"/>
      <c r="M197" s="244"/>
      <c r="N197" s="234">
        <f>SUM(N198:N199)</f>
        <v>8800000</v>
      </c>
      <c r="O197" s="235"/>
      <c r="P197" s="997"/>
      <c r="Q197" s="997"/>
      <c r="R197" s="246"/>
      <c r="T197" s="252"/>
      <c r="U197" s="240"/>
      <c r="V197" s="241"/>
      <c r="W197" s="240"/>
      <c r="X197" s="256"/>
      <c r="Y197" s="243"/>
      <c r="Z197" s="244"/>
      <c r="AA197" s="234"/>
      <c r="AC197" s="1031"/>
    </row>
    <row r="198" spans="1:29" ht="14.45" customHeight="1">
      <c r="A198" s="224"/>
      <c r="B198" s="225"/>
      <c r="C198" s="226"/>
      <c r="D198" s="521"/>
      <c r="E198" s="521"/>
      <c r="F198" s="248" t="s">
        <v>1236</v>
      </c>
      <c r="G198" s="252">
        <v>1000000</v>
      </c>
      <c r="H198" s="240" t="s">
        <v>1175</v>
      </c>
      <c r="I198" s="242">
        <v>8</v>
      </c>
      <c r="J198" s="240"/>
      <c r="K198" s="256"/>
      <c r="L198" s="243"/>
      <c r="M198" s="244" t="s">
        <v>1176</v>
      </c>
      <c r="N198" s="1570">
        <f>G198*I198</f>
        <v>8000000</v>
      </c>
      <c r="O198" s="235"/>
      <c r="P198" s="997"/>
      <c r="Q198" s="997"/>
      <c r="R198" s="246"/>
      <c r="T198" s="252"/>
      <c r="U198" s="240"/>
      <c r="V198" s="242"/>
      <c r="W198" s="240"/>
      <c r="X198" s="256"/>
      <c r="Y198" s="243"/>
      <c r="Z198" s="244"/>
      <c r="AA198" s="1570"/>
      <c r="AC198" s="1031"/>
    </row>
    <row r="199" spans="1:29" ht="14.45" customHeight="1">
      <c r="A199" s="224"/>
      <c r="B199" s="225"/>
      <c r="C199" s="226"/>
      <c r="D199" s="521"/>
      <c r="E199" s="521"/>
      <c r="F199" s="248" t="s">
        <v>1239</v>
      </c>
      <c r="G199" s="252">
        <v>100000</v>
      </c>
      <c r="H199" s="240" t="s">
        <v>1175</v>
      </c>
      <c r="I199" s="242">
        <v>8</v>
      </c>
      <c r="J199" s="240"/>
      <c r="K199" s="256"/>
      <c r="L199" s="243"/>
      <c r="M199" s="244" t="s">
        <v>1176</v>
      </c>
      <c r="N199" s="1570">
        <f t="shared" ref="N199:N204" si="5">G199*I199</f>
        <v>800000</v>
      </c>
      <c r="O199" s="235"/>
      <c r="P199" s="997"/>
      <c r="Q199" s="997"/>
      <c r="R199" s="246"/>
      <c r="T199" s="252"/>
      <c r="U199" s="240"/>
      <c r="V199" s="242"/>
      <c r="W199" s="240"/>
      <c r="X199" s="256"/>
      <c r="Y199" s="243"/>
      <c r="Z199" s="244"/>
      <c r="AA199" s="1570"/>
      <c r="AC199" s="1031"/>
    </row>
    <row r="200" spans="1:29" ht="14.45" customHeight="1">
      <c r="A200" s="224"/>
      <c r="B200" s="225"/>
      <c r="C200" s="226"/>
      <c r="D200" s="521"/>
      <c r="E200" s="521"/>
      <c r="F200" s="231" t="s">
        <v>1308</v>
      </c>
      <c r="G200" s="252"/>
      <c r="H200" s="240"/>
      <c r="I200" s="256"/>
      <c r="J200" s="240"/>
      <c r="K200" s="256"/>
      <c r="L200" s="243"/>
      <c r="M200" s="244"/>
      <c r="N200" s="234">
        <f>SUM(N201:N204)</f>
        <v>18000000</v>
      </c>
      <c r="O200" s="235"/>
      <c r="P200" s="997"/>
      <c r="Q200" s="997"/>
      <c r="R200" s="246"/>
      <c r="T200" s="252"/>
      <c r="U200" s="240"/>
      <c r="V200" s="256"/>
      <c r="W200" s="240"/>
      <c r="X200" s="256"/>
      <c r="Y200" s="243"/>
      <c r="Z200" s="244"/>
      <c r="AA200" s="234"/>
      <c r="AC200" s="1031"/>
    </row>
    <row r="201" spans="1:29" ht="14.45" customHeight="1">
      <c r="A201" s="224"/>
      <c r="B201" s="225"/>
      <c r="C201" s="226"/>
      <c r="D201" s="521"/>
      <c r="E201" s="521"/>
      <c r="F201" s="248" t="s">
        <v>1309</v>
      </c>
      <c r="G201" s="252">
        <v>450000</v>
      </c>
      <c r="H201" s="240" t="s">
        <v>1175</v>
      </c>
      <c r="I201" s="242">
        <v>12</v>
      </c>
      <c r="J201" s="240"/>
      <c r="K201" s="256"/>
      <c r="L201" s="243"/>
      <c r="M201" s="244" t="s">
        <v>1176</v>
      </c>
      <c r="N201" s="1570">
        <f t="shared" si="5"/>
        <v>5400000</v>
      </c>
      <c r="O201" s="235"/>
      <c r="P201" s="997"/>
      <c r="Q201" s="997"/>
      <c r="R201" s="246"/>
      <c r="T201" s="252"/>
      <c r="U201" s="240"/>
      <c r="V201" s="242"/>
      <c r="W201" s="240"/>
      <c r="X201" s="256"/>
      <c r="Y201" s="243"/>
      <c r="Z201" s="244"/>
      <c r="AA201" s="1570"/>
      <c r="AC201" s="1031"/>
    </row>
    <row r="202" spans="1:29" ht="14.45" customHeight="1">
      <c r="A202" s="224"/>
      <c r="B202" s="225"/>
      <c r="C202" s="226"/>
      <c r="D202" s="521"/>
      <c r="E202" s="521"/>
      <c r="F202" s="248" t="s">
        <v>1310</v>
      </c>
      <c r="G202" s="252">
        <v>450000</v>
      </c>
      <c r="H202" s="240" t="s">
        <v>1175</v>
      </c>
      <c r="I202" s="242">
        <v>12</v>
      </c>
      <c r="J202" s="240"/>
      <c r="K202" s="256"/>
      <c r="L202" s="243"/>
      <c r="M202" s="244" t="s">
        <v>1176</v>
      </c>
      <c r="N202" s="1570">
        <f t="shared" si="5"/>
        <v>5400000</v>
      </c>
      <c r="O202" s="235"/>
      <c r="P202" s="997"/>
      <c r="Q202" s="997"/>
      <c r="R202" s="246"/>
      <c r="T202" s="252"/>
      <c r="U202" s="240"/>
      <c r="V202" s="242"/>
      <c r="W202" s="240"/>
      <c r="X202" s="256"/>
      <c r="Y202" s="243"/>
      <c r="Z202" s="244"/>
      <c r="AA202" s="1570"/>
      <c r="AC202" s="1031"/>
    </row>
    <row r="203" spans="1:29" ht="14.45" customHeight="1">
      <c r="A203" s="224"/>
      <c r="B203" s="225"/>
      <c r="C203" s="226"/>
      <c r="D203" s="521"/>
      <c r="E203" s="521"/>
      <c r="F203" s="248" t="s">
        <v>1311</v>
      </c>
      <c r="G203" s="252">
        <v>500000</v>
      </c>
      <c r="H203" s="240" t="s">
        <v>1175</v>
      </c>
      <c r="I203" s="242">
        <v>12</v>
      </c>
      <c r="J203" s="240"/>
      <c r="K203" s="256"/>
      <c r="L203" s="243"/>
      <c r="M203" s="244" t="s">
        <v>1176</v>
      </c>
      <c r="N203" s="1570">
        <f t="shared" si="5"/>
        <v>6000000</v>
      </c>
      <c r="O203" s="235"/>
      <c r="P203" s="997"/>
      <c r="Q203" s="997"/>
      <c r="R203" s="246"/>
      <c r="T203" s="252"/>
      <c r="U203" s="240"/>
      <c r="V203" s="242"/>
      <c r="W203" s="240"/>
      <c r="X203" s="256"/>
      <c r="Y203" s="243"/>
      <c r="Z203" s="244"/>
      <c r="AA203" s="1570"/>
      <c r="AC203" s="1031"/>
    </row>
    <row r="204" spans="1:29" ht="14.45" customHeight="1">
      <c r="A204" s="224"/>
      <c r="B204" s="225"/>
      <c r="C204" s="226"/>
      <c r="D204" s="521"/>
      <c r="E204" s="521"/>
      <c r="F204" s="248" t="s">
        <v>1239</v>
      </c>
      <c r="G204" s="252">
        <v>100000</v>
      </c>
      <c r="H204" s="240" t="s">
        <v>1175</v>
      </c>
      <c r="I204" s="242">
        <v>12</v>
      </c>
      <c r="J204" s="240"/>
      <c r="K204" s="256"/>
      <c r="L204" s="243"/>
      <c r="M204" s="244" t="s">
        <v>1176</v>
      </c>
      <c r="N204" s="1570">
        <f t="shared" si="5"/>
        <v>1200000</v>
      </c>
      <c r="O204" s="235"/>
      <c r="P204" s="997"/>
      <c r="Q204" s="997"/>
      <c r="R204" s="246"/>
      <c r="T204" s="252"/>
      <c r="U204" s="240"/>
      <c r="V204" s="242"/>
      <c r="W204" s="240"/>
      <c r="X204" s="256"/>
      <c r="Y204" s="243"/>
      <c r="Z204" s="244"/>
      <c r="AA204" s="1570"/>
      <c r="AC204" s="1031"/>
    </row>
    <row r="205" spans="1:29" ht="14.45" customHeight="1">
      <c r="A205" s="224"/>
      <c r="B205" s="225"/>
      <c r="C205" s="226"/>
      <c r="D205" s="521"/>
      <c r="E205" s="521"/>
      <c r="F205" s="231" t="s">
        <v>1312</v>
      </c>
      <c r="G205" s="252"/>
      <c r="H205" s="240"/>
      <c r="I205" s="242"/>
      <c r="J205" s="240"/>
      <c r="K205" s="256"/>
      <c r="L205" s="243"/>
      <c r="M205" s="244"/>
      <c r="N205" s="234">
        <f>SUM(N206:N207)</f>
        <v>5700000</v>
      </c>
      <c r="O205" s="235"/>
      <c r="P205" s="997"/>
      <c r="Q205" s="997"/>
      <c r="R205" s="246"/>
      <c r="T205" s="252"/>
      <c r="U205" s="240"/>
      <c r="V205" s="242"/>
      <c r="W205" s="240"/>
      <c r="X205" s="256"/>
      <c r="Y205" s="243"/>
      <c r="Z205" s="244"/>
      <c r="AA205" s="234"/>
      <c r="AC205" s="1031"/>
    </row>
    <row r="206" spans="1:29" ht="14.45" customHeight="1">
      <c r="A206" s="224"/>
      <c r="B206" s="225"/>
      <c r="C206" s="226"/>
      <c r="D206" s="521"/>
      <c r="E206" s="521"/>
      <c r="F206" s="248" t="s">
        <v>1236</v>
      </c>
      <c r="G206" s="252">
        <v>375000</v>
      </c>
      <c r="H206" s="240" t="s">
        <v>277</v>
      </c>
      <c r="I206" s="242">
        <v>12</v>
      </c>
      <c r="J206" s="240"/>
      <c r="K206" s="256"/>
      <c r="L206" s="243"/>
      <c r="M206" s="244" t="s">
        <v>283</v>
      </c>
      <c r="N206" s="1570">
        <f>G206*I206</f>
        <v>4500000</v>
      </c>
      <c r="O206" s="235"/>
      <c r="P206" s="997"/>
      <c r="Q206" s="997"/>
      <c r="R206" s="246"/>
      <c r="T206" s="252"/>
      <c r="U206" s="240"/>
      <c r="V206" s="242"/>
      <c r="W206" s="240"/>
      <c r="X206" s="256"/>
      <c r="Y206" s="243"/>
      <c r="Z206" s="244"/>
      <c r="AA206" s="1570"/>
      <c r="AC206" s="1031"/>
    </row>
    <row r="207" spans="1:29" ht="14.45" customHeight="1">
      <c r="A207" s="224"/>
      <c r="B207" s="225"/>
      <c r="C207" s="226"/>
      <c r="D207" s="521"/>
      <c r="E207" s="521"/>
      <c r="F207" s="248" t="s">
        <v>1237</v>
      </c>
      <c r="G207" s="252">
        <v>100000</v>
      </c>
      <c r="H207" s="240" t="s">
        <v>277</v>
      </c>
      <c r="I207" s="242">
        <v>12</v>
      </c>
      <c r="J207" s="240"/>
      <c r="K207" s="256"/>
      <c r="L207" s="243"/>
      <c r="M207" s="244" t="s">
        <v>1176</v>
      </c>
      <c r="N207" s="1570">
        <f>G207*I207</f>
        <v>1200000</v>
      </c>
      <c r="O207" s="235"/>
      <c r="P207" s="997"/>
      <c r="Q207" s="997"/>
      <c r="R207" s="246"/>
      <c r="T207" s="252"/>
      <c r="U207" s="240"/>
      <c r="V207" s="242"/>
      <c r="W207" s="240"/>
      <c r="X207" s="256"/>
      <c r="Y207" s="243"/>
      <c r="Z207" s="244"/>
      <c r="AA207" s="1570"/>
      <c r="AC207" s="1031"/>
    </row>
    <row r="208" spans="1:29" ht="14.45" customHeight="1">
      <c r="A208" s="224"/>
      <c r="B208" s="225"/>
      <c r="C208" s="226"/>
      <c r="D208" s="521"/>
      <c r="E208" s="521"/>
      <c r="F208" s="231" t="s">
        <v>1313</v>
      </c>
      <c r="G208" s="252"/>
      <c r="H208" s="240"/>
      <c r="I208" s="242"/>
      <c r="J208" s="240"/>
      <c r="K208" s="256"/>
      <c r="L208" s="243"/>
      <c r="M208" s="244"/>
      <c r="N208" s="234">
        <f>SUM(N209:N210)</f>
        <v>5400000</v>
      </c>
      <c r="O208" s="235"/>
      <c r="P208" s="997"/>
      <c r="Q208" s="997"/>
      <c r="R208" s="246"/>
      <c r="T208" s="252"/>
      <c r="U208" s="240"/>
      <c r="V208" s="242"/>
      <c r="W208" s="240"/>
      <c r="X208" s="256"/>
      <c r="Y208" s="243"/>
      <c r="Z208" s="244"/>
      <c r="AA208" s="234"/>
      <c r="AC208" s="1031"/>
    </row>
    <row r="209" spans="1:29" ht="14.45" customHeight="1">
      <c r="A209" s="224"/>
      <c r="B209" s="225"/>
      <c r="C209" s="226"/>
      <c r="D209" s="521"/>
      <c r="E209" s="521"/>
      <c r="F209" s="248" t="s">
        <v>1236</v>
      </c>
      <c r="G209" s="252">
        <v>400000</v>
      </c>
      <c r="H209" s="240" t="s">
        <v>277</v>
      </c>
      <c r="I209" s="242">
        <v>12</v>
      </c>
      <c r="J209" s="240"/>
      <c r="K209" s="256"/>
      <c r="L209" s="243"/>
      <c r="M209" s="244" t="s">
        <v>1176</v>
      </c>
      <c r="N209" s="1570">
        <f>G209*I209</f>
        <v>4800000</v>
      </c>
      <c r="O209" s="235"/>
      <c r="P209" s="997"/>
      <c r="Q209" s="997"/>
      <c r="R209" s="246"/>
      <c r="T209" s="252"/>
      <c r="U209" s="240"/>
      <c r="V209" s="242"/>
      <c r="W209" s="240"/>
      <c r="X209" s="256"/>
      <c r="Y209" s="243"/>
      <c r="Z209" s="244"/>
      <c r="AA209" s="1570"/>
      <c r="AC209" s="1031"/>
    </row>
    <row r="210" spans="1:29" ht="14.45" customHeight="1">
      <c r="A210" s="224"/>
      <c r="B210" s="225"/>
      <c r="C210" s="226"/>
      <c r="D210" s="521"/>
      <c r="E210" s="521"/>
      <c r="F210" s="248" t="s">
        <v>1239</v>
      </c>
      <c r="G210" s="252">
        <v>50000</v>
      </c>
      <c r="H210" s="240" t="s">
        <v>1175</v>
      </c>
      <c r="I210" s="242">
        <v>12</v>
      </c>
      <c r="J210" s="240"/>
      <c r="K210" s="256"/>
      <c r="L210" s="243"/>
      <c r="M210" s="244" t="s">
        <v>1176</v>
      </c>
      <c r="N210" s="1570">
        <f>G210*I210</f>
        <v>600000</v>
      </c>
      <c r="O210" s="235"/>
      <c r="P210" s="997"/>
      <c r="Q210" s="997"/>
      <c r="R210" s="246"/>
      <c r="T210" s="252"/>
      <c r="U210" s="240"/>
      <c r="V210" s="242"/>
      <c r="W210" s="240"/>
      <c r="X210" s="256"/>
      <c r="Y210" s="243"/>
      <c r="Z210" s="244"/>
      <c r="AA210" s="1570"/>
      <c r="AC210" s="1031"/>
    </row>
    <row r="211" spans="1:29" ht="14.45" customHeight="1">
      <c r="A211" s="224"/>
      <c r="B211" s="225"/>
      <c r="C211" s="226"/>
      <c r="D211" s="521"/>
      <c r="E211" s="521"/>
      <c r="F211" s="231" t="s">
        <v>1314</v>
      </c>
      <c r="G211" s="252"/>
      <c r="H211" s="240"/>
      <c r="I211" s="242"/>
      <c r="J211" s="240"/>
      <c r="K211" s="256"/>
      <c r="L211" s="243"/>
      <c r="M211" s="244"/>
      <c r="N211" s="234">
        <f>SUM(N212:N215)</f>
        <v>54240000</v>
      </c>
      <c r="O211" s="235"/>
      <c r="P211" s="997"/>
      <c r="Q211" s="997"/>
      <c r="R211" s="246"/>
      <c r="T211" s="252"/>
      <c r="U211" s="240"/>
      <c r="V211" s="242"/>
      <c r="W211" s="240"/>
      <c r="X211" s="256"/>
      <c r="Y211" s="243"/>
      <c r="Z211" s="244"/>
      <c r="AA211" s="234"/>
      <c r="AC211" s="1031"/>
    </row>
    <row r="212" spans="1:29" ht="14.45" customHeight="1">
      <c r="A212" s="224"/>
      <c r="B212" s="225"/>
      <c r="C212" s="226"/>
      <c r="D212" s="521"/>
      <c r="E212" s="521"/>
      <c r="F212" s="248" t="s">
        <v>949</v>
      </c>
      <c r="G212" s="252">
        <v>2160000</v>
      </c>
      <c r="H212" s="240" t="s">
        <v>1175</v>
      </c>
      <c r="I212" s="242">
        <v>12</v>
      </c>
      <c r="J212" s="240"/>
      <c r="K212" s="256"/>
      <c r="L212" s="243"/>
      <c r="M212" s="244" t="s">
        <v>1176</v>
      </c>
      <c r="N212" s="1570">
        <f>G212*I212</f>
        <v>25920000</v>
      </c>
      <c r="O212" s="235"/>
      <c r="P212" s="997"/>
      <c r="Q212" s="997"/>
      <c r="R212" s="246"/>
      <c r="T212" s="252"/>
      <c r="U212" s="240"/>
      <c r="V212" s="242"/>
      <c r="W212" s="240"/>
      <c r="X212" s="256"/>
      <c r="Y212" s="243"/>
      <c r="Z212" s="244"/>
      <c r="AA212" s="1570"/>
      <c r="AC212" s="1031"/>
    </row>
    <row r="213" spans="1:29" ht="14.45" customHeight="1">
      <c r="A213" s="224"/>
      <c r="B213" s="225"/>
      <c r="C213" s="226"/>
      <c r="D213" s="521"/>
      <c r="E213" s="521"/>
      <c r="F213" s="248" t="s">
        <v>1236</v>
      </c>
      <c r="G213" s="252">
        <v>2160000</v>
      </c>
      <c r="H213" s="240" t="s">
        <v>1175</v>
      </c>
      <c r="I213" s="242">
        <v>12</v>
      </c>
      <c r="J213" s="240"/>
      <c r="K213" s="256"/>
      <c r="L213" s="243"/>
      <c r="M213" s="244" t="s">
        <v>283</v>
      </c>
      <c r="N213" s="1570">
        <f>G213*I213</f>
        <v>25920000</v>
      </c>
      <c r="O213" s="235"/>
      <c r="P213" s="997"/>
      <c r="Q213" s="997"/>
      <c r="R213" s="246"/>
      <c r="T213" s="252"/>
      <c r="U213" s="240"/>
      <c r="V213" s="242"/>
      <c r="W213" s="240"/>
      <c r="X213" s="256"/>
      <c r="Y213" s="243"/>
      <c r="Z213" s="244"/>
      <c r="AA213" s="1570"/>
      <c r="AC213" s="1031"/>
    </row>
    <row r="214" spans="1:29" ht="14.45" customHeight="1">
      <c r="A214" s="224"/>
      <c r="B214" s="225"/>
      <c r="C214" s="226"/>
      <c r="D214" s="521"/>
      <c r="E214" s="521"/>
      <c r="F214" s="248" t="s">
        <v>1237</v>
      </c>
      <c r="G214" s="252">
        <v>100000</v>
      </c>
      <c r="H214" s="240" t="s">
        <v>277</v>
      </c>
      <c r="I214" s="242">
        <v>12</v>
      </c>
      <c r="J214" s="240"/>
      <c r="K214" s="256"/>
      <c r="L214" s="243"/>
      <c r="M214" s="244" t="s">
        <v>283</v>
      </c>
      <c r="N214" s="1570">
        <f>G214*I214</f>
        <v>1200000</v>
      </c>
      <c r="O214" s="235"/>
      <c r="P214" s="997"/>
      <c r="Q214" s="997"/>
      <c r="R214" s="246"/>
      <c r="T214" s="252"/>
      <c r="U214" s="240"/>
      <c r="V214" s="242"/>
      <c r="W214" s="240"/>
      <c r="X214" s="256"/>
      <c r="Y214" s="243"/>
      <c r="Z214" s="244"/>
      <c r="AA214" s="1570"/>
      <c r="AC214" s="1031"/>
    </row>
    <row r="215" spans="1:29" ht="14.45" customHeight="1">
      <c r="A215" s="224"/>
      <c r="B215" s="225"/>
      <c r="C215" s="226"/>
      <c r="D215" s="521"/>
      <c r="E215" s="521"/>
      <c r="F215" s="248" t="s">
        <v>1315</v>
      </c>
      <c r="G215" s="252">
        <v>100000</v>
      </c>
      <c r="H215" s="240" t="s">
        <v>1175</v>
      </c>
      <c r="I215" s="242">
        <v>12</v>
      </c>
      <c r="J215" s="240"/>
      <c r="K215" s="256"/>
      <c r="L215" s="243"/>
      <c r="M215" s="244" t="s">
        <v>283</v>
      </c>
      <c r="N215" s="1570">
        <f>G215*I215</f>
        <v>1200000</v>
      </c>
      <c r="O215" s="235"/>
      <c r="P215" s="997"/>
      <c r="Q215" s="997"/>
      <c r="R215" s="246"/>
      <c r="T215" s="252"/>
      <c r="U215" s="240"/>
      <c r="V215" s="242"/>
      <c r="W215" s="240"/>
      <c r="X215" s="256"/>
      <c r="Y215" s="243"/>
      <c r="Z215" s="244"/>
      <c r="AA215" s="1570"/>
      <c r="AC215" s="1031"/>
    </row>
    <row r="216" spans="1:29" ht="14.45" customHeight="1">
      <c r="A216" s="224"/>
      <c r="B216" s="225"/>
      <c r="C216" s="226"/>
      <c r="D216" s="521"/>
      <c r="E216" s="521"/>
      <c r="F216" s="231" t="s">
        <v>1316</v>
      </c>
      <c r="G216" s="252"/>
      <c r="H216" s="240"/>
      <c r="I216" s="242"/>
      <c r="J216" s="240"/>
      <c r="K216" s="256"/>
      <c r="L216" s="243"/>
      <c r="M216" s="244"/>
      <c r="N216" s="234">
        <f>SUM(N217:N219)</f>
        <v>13200000</v>
      </c>
      <c r="O216" s="235"/>
      <c r="P216" s="997"/>
      <c r="Q216" s="997"/>
      <c r="R216" s="246"/>
      <c r="T216" s="252"/>
      <c r="U216" s="240"/>
      <c r="V216" s="242"/>
      <c r="W216" s="240"/>
      <c r="X216" s="256"/>
      <c r="Y216" s="243"/>
      <c r="Z216" s="244"/>
      <c r="AA216" s="234"/>
      <c r="AC216" s="1031"/>
    </row>
    <row r="217" spans="1:29" ht="14.45" customHeight="1">
      <c r="A217" s="224"/>
      <c r="B217" s="225"/>
      <c r="C217" s="226"/>
      <c r="D217" s="521"/>
      <c r="E217" s="521"/>
      <c r="F217" s="248" t="s">
        <v>1317</v>
      </c>
      <c r="G217" s="252">
        <v>600000</v>
      </c>
      <c r="H217" s="240" t="s">
        <v>1175</v>
      </c>
      <c r="I217" s="242">
        <v>12</v>
      </c>
      <c r="J217" s="240"/>
      <c r="K217" s="256"/>
      <c r="L217" s="243"/>
      <c r="M217" s="244" t="s">
        <v>1176</v>
      </c>
      <c r="N217" s="1570">
        <f>G217*I217</f>
        <v>7200000</v>
      </c>
      <c r="O217" s="235"/>
      <c r="P217" s="997"/>
      <c r="Q217" s="997"/>
      <c r="R217" s="246"/>
      <c r="T217" s="252"/>
      <c r="U217" s="240"/>
      <c r="V217" s="242"/>
      <c r="W217" s="240"/>
      <c r="X217" s="256"/>
      <c r="Y217" s="243"/>
      <c r="Z217" s="244"/>
      <c r="AA217" s="1570"/>
      <c r="AC217" s="1031"/>
    </row>
    <row r="218" spans="1:29" ht="14.45" customHeight="1">
      <c r="A218" s="224"/>
      <c r="B218" s="225"/>
      <c r="C218" s="226"/>
      <c r="D218" s="521"/>
      <c r="E218" s="521"/>
      <c r="F218" s="248" t="s">
        <v>1318</v>
      </c>
      <c r="G218" s="252">
        <v>400000</v>
      </c>
      <c r="H218" s="240" t="s">
        <v>277</v>
      </c>
      <c r="I218" s="242">
        <v>12</v>
      </c>
      <c r="J218" s="240"/>
      <c r="K218" s="256"/>
      <c r="L218" s="243"/>
      <c r="M218" s="244" t="s">
        <v>1176</v>
      </c>
      <c r="N218" s="1570">
        <f>G218*I218</f>
        <v>4800000</v>
      </c>
      <c r="O218" s="235"/>
      <c r="P218" s="997"/>
      <c r="Q218" s="997"/>
      <c r="R218" s="246"/>
      <c r="T218" s="252"/>
      <c r="U218" s="240"/>
      <c r="V218" s="242"/>
      <c r="W218" s="240"/>
      <c r="X218" s="256"/>
      <c r="Y218" s="243"/>
      <c r="Z218" s="244"/>
      <c r="AA218" s="1570"/>
      <c r="AC218" s="1031"/>
    </row>
    <row r="219" spans="1:29" ht="14.45" customHeight="1">
      <c r="A219" s="224"/>
      <c r="B219" s="225"/>
      <c r="C219" s="226"/>
      <c r="D219" s="521"/>
      <c r="E219" s="521"/>
      <c r="F219" s="248" t="s">
        <v>1319</v>
      </c>
      <c r="G219" s="252">
        <v>100000</v>
      </c>
      <c r="H219" s="240" t="s">
        <v>277</v>
      </c>
      <c r="I219" s="242">
        <v>12</v>
      </c>
      <c r="J219" s="240"/>
      <c r="K219" s="256"/>
      <c r="L219" s="243"/>
      <c r="M219" s="244" t="s">
        <v>283</v>
      </c>
      <c r="N219" s="1570">
        <f>G219*I219</f>
        <v>1200000</v>
      </c>
      <c r="O219" s="235"/>
      <c r="P219" s="997"/>
      <c r="Q219" s="997"/>
      <c r="R219" s="246"/>
      <c r="T219" s="252"/>
      <c r="U219" s="240"/>
      <c r="V219" s="242"/>
      <c r="W219" s="240"/>
      <c r="X219" s="256"/>
      <c r="Y219" s="243"/>
      <c r="Z219" s="244"/>
      <c r="AA219" s="1570"/>
      <c r="AC219" s="1031"/>
    </row>
    <row r="220" spans="1:29" ht="14.45" customHeight="1">
      <c r="A220" s="224"/>
      <c r="B220" s="225"/>
      <c r="C220" s="226"/>
      <c r="D220" s="521"/>
      <c r="E220" s="521"/>
      <c r="F220" s="1670" t="s">
        <v>1320</v>
      </c>
      <c r="G220" s="252"/>
      <c r="H220" s="240"/>
      <c r="I220" s="242"/>
      <c r="J220" s="240"/>
      <c r="K220" s="256"/>
      <c r="L220" s="243"/>
      <c r="M220" s="244"/>
      <c r="N220" s="234">
        <f>SUM(N221:N223)</f>
        <v>9500000</v>
      </c>
      <c r="O220" s="235"/>
      <c r="P220" s="997"/>
      <c r="Q220" s="997"/>
      <c r="R220" s="246"/>
      <c r="T220" s="252"/>
      <c r="U220" s="240"/>
      <c r="V220" s="242"/>
      <c r="W220" s="240"/>
      <c r="X220" s="256"/>
      <c r="Y220" s="243"/>
      <c r="Z220" s="244"/>
      <c r="AA220" s="234"/>
      <c r="AC220" s="1031"/>
    </row>
    <row r="221" spans="1:29" ht="14.45" customHeight="1">
      <c r="A221" s="224"/>
      <c r="B221" s="225"/>
      <c r="C221" s="226"/>
      <c r="D221" s="521"/>
      <c r="E221" s="521"/>
      <c r="F221" s="248" t="s">
        <v>1236</v>
      </c>
      <c r="G221" s="252">
        <v>525000</v>
      </c>
      <c r="H221" s="240" t="s">
        <v>277</v>
      </c>
      <c r="I221" s="242">
        <v>12</v>
      </c>
      <c r="J221" s="240"/>
      <c r="K221" s="256"/>
      <c r="L221" s="243"/>
      <c r="M221" s="244" t="s">
        <v>1176</v>
      </c>
      <c r="N221" s="1570">
        <f>G221*I221</f>
        <v>6300000</v>
      </c>
      <c r="O221" s="235"/>
      <c r="P221" s="997"/>
      <c r="Q221" s="997"/>
      <c r="R221" s="246"/>
      <c r="T221" s="252"/>
      <c r="U221" s="240"/>
      <c r="V221" s="242"/>
      <c r="W221" s="240"/>
      <c r="X221" s="256"/>
      <c r="Y221" s="243"/>
      <c r="Z221" s="244"/>
      <c r="AA221" s="1570"/>
      <c r="AC221" s="1031"/>
    </row>
    <row r="222" spans="1:29" ht="14.45" customHeight="1">
      <c r="A222" s="224"/>
      <c r="B222" s="225"/>
      <c r="C222" s="226"/>
      <c r="D222" s="521"/>
      <c r="E222" s="521"/>
      <c r="F222" s="248" t="s">
        <v>1239</v>
      </c>
      <c r="G222" s="252">
        <v>100000</v>
      </c>
      <c r="H222" s="240" t="s">
        <v>1175</v>
      </c>
      <c r="I222" s="242">
        <v>12</v>
      </c>
      <c r="J222" s="240"/>
      <c r="K222" s="256"/>
      <c r="L222" s="243"/>
      <c r="M222" s="244" t="s">
        <v>1176</v>
      </c>
      <c r="N222" s="1570">
        <f>G222*I222</f>
        <v>1200000</v>
      </c>
      <c r="O222" s="235"/>
      <c r="P222" s="997"/>
      <c r="Q222" s="997"/>
      <c r="R222" s="246"/>
      <c r="T222" s="252"/>
      <c r="U222" s="240"/>
      <c r="V222" s="242"/>
      <c r="W222" s="240"/>
      <c r="X222" s="256"/>
      <c r="Y222" s="243"/>
      <c r="Z222" s="244"/>
      <c r="AA222" s="1570"/>
      <c r="AC222" s="1031"/>
    </row>
    <row r="223" spans="1:29" ht="14.45" customHeight="1">
      <c r="A223" s="224"/>
      <c r="B223" s="225"/>
      <c r="C223" s="226"/>
      <c r="D223" s="521"/>
      <c r="E223" s="521"/>
      <c r="F223" s="248" t="s">
        <v>1321</v>
      </c>
      <c r="G223" s="252">
        <v>2000000</v>
      </c>
      <c r="H223" s="240" t="s">
        <v>1175</v>
      </c>
      <c r="I223" s="256">
        <v>1</v>
      </c>
      <c r="J223" s="240"/>
      <c r="K223" s="256"/>
      <c r="L223" s="243"/>
      <c r="M223" s="244" t="s">
        <v>1176</v>
      </c>
      <c r="N223" s="1570">
        <f>G223*I223</f>
        <v>2000000</v>
      </c>
      <c r="O223" s="235"/>
      <c r="P223" s="997"/>
      <c r="Q223" s="997"/>
      <c r="R223" s="246"/>
      <c r="T223" s="252"/>
      <c r="U223" s="240"/>
      <c r="V223" s="256"/>
      <c r="W223" s="240"/>
      <c r="X223" s="256"/>
      <c r="Y223" s="243"/>
      <c r="Z223" s="244"/>
      <c r="AA223" s="1570"/>
      <c r="AC223" s="1031"/>
    </row>
    <row r="224" spans="1:29" ht="14.45" customHeight="1">
      <c r="A224" s="224"/>
      <c r="B224" s="225"/>
      <c r="C224" s="226"/>
      <c r="D224" s="521"/>
      <c r="E224" s="521"/>
      <c r="F224" s="231" t="s">
        <v>1322</v>
      </c>
      <c r="G224" s="252"/>
      <c r="H224" s="240"/>
      <c r="I224" s="241"/>
      <c r="J224" s="240"/>
      <c r="K224" s="256"/>
      <c r="L224" s="243"/>
      <c r="M224" s="244"/>
      <c r="N224" s="234">
        <f>SUM(N225:N226)</f>
        <v>32640000</v>
      </c>
      <c r="O224" s="235"/>
      <c r="P224" s="997"/>
      <c r="Q224" s="997"/>
      <c r="R224" s="246"/>
      <c r="T224" s="252"/>
      <c r="U224" s="240"/>
      <c r="V224" s="241"/>
      <c r="W224" s="240"/>
      <c r="X224" s="256"/>
      <c r="Y224" s="243"/>
      <c r="Z224" s="244"/>
      <c r="AA224" s="234"/>
      <c r="AC224" s="1031"/>
    </row>
    <row r="225" spans="1:29" ht="14.45" customHeight="1">
      <c r="A225" s="224"/>
      <c r="B225" s="225"/>
      <c r="C225" s="226"/>
      <c r="D225" s="521"/>
      <c r="E225" s="521"/>
      <c r="F225" s="248" t="s">
        <v>949</v>
      </c>
      <c r="G225" s="252">
        <v>2520000</v>
      </c>
      <c r="H225" s="240" t="s">
        <v>1175</v>
      </c>
      <c r="I225" s="242">
        <v>12</v>
      </c>
      <c r="J225" s="240"/>
      <c r="K225" s="256"/>
      <c r="L225" s="243"/>
      <c r="M225" s="244" t="s">
        <v>283</v>
      </c>
      <c r="N225" s="1570">
        <f>G225*I225</f>
        <v>30240000</v>
      </c>
      <c r="O225" s="235"/>
      <c r="P225" s="997"/>
      <c r="Q225" s="997"/>
      <c r="R225" s="246"/>
      <c r="T225" s="252"/>
      <c r="U225" s="240"/>
      <c r="V225" s="242"/>
      <c r="W225" s="240"/>
      <c r="X225" s="256"/>
      <c r="Y225" s="243"/>
      <c r="Z225" s="244"/>
      <c r="AA225" s="1570"/>
      <c r="AC225" s="1031"/>
    </row>
    <row r="226" spans="1:29" ht="14.45" customHeight="1">
      <c r="A226" s="576"/>
      <c r="B226" s="278"/>
      <c r="C226" s="279"/>
      <c r="D226" s="1116"/>
      <c r="E226" s="1116"/>
      <c r="F226" s="281" t="s">
        <v>1237</v>
      </c>
      <c r="G226" s="579">
        <v>200000</v>
      </c>
      <c r="H226" s="283" t="s">
        <v>277</v>
      </c>
      <c r="I226" s="592">
        <v>12</v>
      </c>
      <c r="J226" s="283"/>
      <c r="K226" s="592"/>
      <c r="L226" s="1402"/>
      <c r="M226" s="285" t="s">
        <v>283</v>
      </c>
      <c r="N226" s="1585">
        <f>G226*I226</f>
        <v>2400000</v>
      </c>
      <c r="O226" s="287"/>
      <c r="P226" s="1027"/>
      <c r="Q226" s="1027"/>
      <c r="R226" s="288"/>
      <c r="T226" s="252"/>
      <c r="U226" s="240"/>
      <c r="V226" s="256"/>
      <c r="W226" s="240"/>
      <c r="X226" s="256"/>
      <c r="Y226" s="243"/>
      <c r="Z226" s="244"/>
      <c r="AA226" s="1570"/>
      <c r="AC226" s="1031"/>
    </row>
    <row r="227" spans="1:29" ht="14.45" customHeight="1">
      <c r="A227" s="224"/>
      <c r="B227" s="225"/>
      <c r="C227" s="226"/>
      <c r="D227" s="521"/>
      <c r="E227" s="521"/>
      <c r="F227" s="231" t="s">
        <v>1323</v>
      </c>
      <c r="G227" s="252"/>
      <c r="H227" s="240"/>
      <c r="I227" s="241"/>
      <c r="J227" s="240"/>
      <c r="K227" s="256"/>
      <c r="L227" s="243"/>
      <c r="M227" s="244"/>
      <c r="N227" s="234">
        <f>SUM(N228:N229)</f>
        <v>5400000</v>
      </c>
      <c r="O227" s="235"/>
      <c r="P227" s="997"/>
      <c r="Q227" s="997"/>
      <c r="R227" s="246"/>
      <c r="T227" s="252"/>
      <c r="U227" s="240"/>
      <c r="V227" s="241"/>
      <c r="W227" s="240"/>
      <c r="X227" s="256"/>
      <c r="Y227" s="243"/>
      <c r="Z227" s="244"/>
      <c r="AA227" s="234"/>
      <c r="AC227" s="1031"/>
    </row>
    <row r="228" spans="1:29" ht="14.45" customHeight="1">
      <c r="A228" s="224"/>
      <c r="B228" s="225"/>
      <c r="C228" s="226"/>
      <c r="D228" s="521"/>
      <c r="E228" s="521"/>
      <c r="F228" s="248" t="s">
        <v>1236</v>
      </c>
      <c r="G228" s="252">
        <v>400000</v>
      </c>
      <c r="H228" s="240" t="s">
        <v>1175</v>
      </c>
      <c r="I228" s="242">
        <v>12</v>
      </c>
      <c r="J228" s="240"/>
      <c r="K228" s="256"/>
      <c r="L228" s="243"/>
      <c r="M228" s="244" t="s">
        <v>1176</v>
      </c>
      <c r="N228" s="1570">
        <f>G228*I228</f>
        <v>4800000</v>
      </c>
      <c r="O228" s="235"/>
      <c r="P228" s="997"/>
      <c r="Q228" s="997"/>
      <c r="R228" s="246"/>
      <c r="T228" s="252"/>
      <c r="U228" s="240"/>
      <c r="V228" s="242"/>
      <c r="W228" s="240"/>
      <c r="X228" s="256"/>
      <c r="Y228" s="243"/>
      <c r="Z228" s="244"/>
      <c r="AA228" s="1570"/>
      <c r="AC228" s="1031"/>
    </row>
    <row r="229" spans="1:29" ht="14.45" customHeight="1">
      <c r="A229" s="224"/>
      <c r="B229" s="225"/>
      <c r="C229" s="226"/>
      <c r="D229" s="521"/>
      <c r="E229" s="521"/>
      <c r="F229" s="248" t="s">
        <v>1239</v>
      </c>
      <c r="G229" s="252">
        <v>50000</v>
      </c>
      <c r="H229" s="240" t="s">
        <v>1175</v>
      </c>
      <c r="I229" s="242">
        <v>12</v>
      </c>
      <c r="J229" s="240"/>
      <c r="K229" s="256"/>
      <c r="L229" s="243"/>
      <c r="M229" s="244" t="s">
        <v>283</v>
      </c>
      <c r="N229" s="1570">
        <f>G229*I229</f>
        <v>600000</v>
      </c>
      <c r="O229" s="235"/>
      <c r="P229" s="997"/>
      <c r="Q229" s="997"/>
      <c r="R229" s="246"/>
      <c r="T229" s="252"/>
      <c r="U229" s="240"/>
      <c r="V229" s="242"/>
      <c r="W229" s="240"/>
      <c r="X229" s="256"/>
      <c r="Y229" s="243"/>
      <c r="Z229" s="244"/>
      <c r="AA229" s="1570"/>
      <c r="AC229" s="1031"/>
    </row>
    <row r="230" spans="1:29" ht="14.45" customHeight="1">
      <c r="A230" s="224"/>
      <c r="B230" s="225"/>
      <c r="C230" s="226"/>
      <c r="D230" s="521"/>
      <c r="E230" s="521"/>
      <c r="F230" s="231" t="s">
        <v>1324</v>
      </c>
      <c r="G230" s="252"/>
      <c r="H230" s="240"/>
      <c r="I230" s="241"/>
      <c r="J230" s="240"/>
      <c r="K230" s="256"/>
      <c r="L230" s="243"/>
      <c r="M230" s="244"/>
      <c r="N230" s="234">
        <f>SUM(N231:N232)</f>
        <v>6000000</v>
      </c>
      <c r="O230" s="235"/>
      <c r="P230" s="997"/>
      <c r="Q230" s="997"/>
      <c r="R230" s="246"/>
      <c r="T230" s="252"/>
      <c r="U230" s="240"/>
      <c r="V230" s="241"/>
      <c r="W230" s="240"/>
      <c r="X230" s="256"/>
      <c r="Y230" s="243"/>
      <c r="Z230" s="244"/>
      <c r="AA230" s="234"/>
      <c r="AC230" s="1031"/>
    </row>
    <row r="231" spans="1:29" ht="14.45" customHeight="1">
      <c r="A231" s="224"/>
      <c r="B231" s="225"/>
      <c r="C231" s="226"/>
      <c r="D231" s="521"/>
      <c r="E231" s="521"/>
      <c r="F231" s="248" t="s">
        <v>949</v>
      </c>
      <c r="G231" s="252">
        <v>450000</v>
      </c>
      <c r="H231" s="240" t="s">
        <v>277</v>
      </c>
      <c r="I231" s="242">
        <v>12</v>
      </c>
      <c r="J231" s="240"/>
      <c r="K231" s="256"/>
      <c r="L231" s="243"/>
      <c r="M231" s="244" t="s">
        <v>1176</v>
      </c>
      <c r="N231" s="1570">
        <f>G231*I231</f>
        <v>5400000</v>
      </c>
      <c r="O231" s="235"/>
      <c r="P231" s="997"/>
      <c r="Q231" s="997"/>
      <c r="R231" s="246"/>
      <c r="T231" s="252"/>
      <c r="U231" s="240"/>
      <c r="V231" s="242"/>
      <c r="W231" s="240"/>
      <c r="X231" s="256"/>
      <c r="Y231" s="243"/>
      <c r="Z231" s="244"/>
      <c r="AA231" s="1570"/>
      <c r="AC231" s="1031"/>
    </row>
    <row r="232" spans="1:29" ht="14.45" customHeight="1">
      <c r="A232" s="224"/>
      <c r="B232" s="225"/>
      <c r="C232" s="226"/>
      <c r="D232" s="521"/>
      <c r="E232" s="521"/>
      <c r="F232" s="248" t="s">
        <v>1237</v>
      </c>
      <c r="G232" s="252">
        <v>50000</v>
      </c>
      <c r="H232" s="240" t="s">
        <v>277</v>
      </c>
      <c r="I232" s="256">
        <v>12</v>
      </c>
      <c r="J232" s="240"/>
      <c r="K232" s="256"/>
      <c r="L232" s="243"/>
      <c r="M232" s="244" t="s">
        <v>1176</v>
      </c>
      <c r="N232" s="1570">
        <f>G232*I232</f>
        <v>600000</v>
      </c>
      <c r="O232" s="235"/>
      <c r="P232" s="997"/>
      <c r="Q232" s="997"/>
      <c r="R232" s="246"/>
      <c r="T232" s="252"/>
      <c r="U232" s="240"/>
      <c r="V232" s="256"/>
      <c r="W232" s="240"/>
      <c r="X232" s="256"/>
      <c r="Y232" s="243"/>
      <c r="Z232" s="244"/>
      <c r="AA232" s="1570"/>
      <c r="AC232" s="1031"/>
    </row>
    <row r="233" spans="1:29" ht="14.45" customHeight="1">
      <c r="A233" s="224"/>
      <c r="B233" s="225"/>
      <c r="C233" s="226"/>
      <c r="D233" s="521"/>
      <c r="E233" s="521"/>
      <c r="F233" s="231" t="s">
        <v>1325</v>
      </c>
      <c r="G233" s="252"/>
      <c r="H233" s="240"/>
      <c r="I233" s="241"/>
      <c r="J233" s="240"/>
      <c r="K233" s="256"/>
      <c r="L233" s="243"/>
      <c r="M233" s="244"/>
      <c r="N233" s="234">
        <f>SUM(N234:N235)</f>
        <v>3444000</v>
      </c>
      <c r="O233" s="235"/>
      <c r="P233" s="997"/>
      <c r="Q233" s="997"/>
      <c r="R233" s="246"/>
      <c r="T233" s="252"/>
      <c r="U233" s="240"/>
      <c r="V233" s="241"/>
      <c r="W233" s="240"/>
      <c r="X233" s="256"/>
      <c r="Y233" s="243"/>
      <c r="Z233" s="244"/>
      <c r="AA233" s="234"/>
      <c r="AC233" s="1031"/>
    </row>
    <row r="234" spans="1:29" ht="14.45" customHeight="1">
      <c r="A234" s="224"/>
      <c r="B234" s="225"/>
      <c r="C234" s="226"/>
      <c r="D234" s="521"/>
      <c r="E234" s="521"/>
      <c r="F234" s="248" t="s">
        <v>949</v>
      </c>
      <c r="G234" s="252">
        <v>237000</v>
      </c>
      <c r="H234" s="240" t="s">
        <v>1175</v>
      </c>
      <c r="I234" s="242">
        <v>12</v>
      </c>
      <c r="J234" s="240"/>
      <c r="K234" s="256"/>
      <c r="L234" s="243"/>
      <c r="M234" s="244" t="s">
        <v>283</v>
      </c>
      <c r="N234" s="1570">
        <f>G234*I234</f>
        <v>2844000</v>
      </c>
      <c r="O234" s="235"/>
      <c r="P234" s="997"/>
      <c r="Q234" s="997"/>
      <c r="R234" s="246"/>
      <c r="T234" s="252"/>
      <c r="U234" s="240"/>
      <c r="V234" s="242"/>
      <c r="W234" s="240"/>
      <c r="X234" s="256"/>
      <c r="Y234" s="243"/>
      <c r="Z234" s="244"/>
      <c r="AA234" s="1570"/>
      <c r="AC234" s="1031"/>
    </row>
    <row r="235" spans="1:29" ht="14.45" customHeight="1">
      <c r="A235" s="224"/>
      <c r="B235" s="225"/>
      <c r="C235" s="226"/>
      <c r="D235" s="521"/>
      <c r="E235" s="521"/>
      <c r="F235" s="248" t="s">
        <v>1237</v>
      </c>
      <c r="G235" s="252">
        <v>50000</v>
      </c>
      <c r="H235" s="240" t="s">
        <v>277</v>
      </c>
      <c r="I235" s="256">
        <v>12</v>
      </c>
      <c r="J235" s="240"/>
      <c r="K235" s="256"/>
      <c r="L235" s="243"/>
      <c r="M235" s="244" t="s">
        <v>1176</v>
      </c>
      <c r="N235" s="1570">
        <f>G235*I235</f>
        <v>600000</v>
      </c>
      <c r="O235" s="235"/>
      <c r="P235" s="997"/>
      <c r="Q235" s="997"/>
      <c r="R235" s="246"/>
      <c r="T235" s="252"/>
      <c r="U235" s="240"/>
      <c r="V235" s="256"/>
      <c r="W235" s="240"/>
      <c r="X235" s="256"/>
      <c r="Y235" s="243"/>
      <c r="Z235" s="244"/>
      <c r="AA235" s="1570"/>
      <c r="AC235" s="1031"/>
    </row>
    <row r="236" spans="1:29" ht="14.45" customHeight="1">
      <c r="A236" s="224"/>
      <c r="B236" s="225"/>
      <c r="C236" s="226"/>
      <c r="D236" s="521"/>
      <c r="E236" s="521"/>
      <c r="F236" s="231" t="s">
        <v>1326</v>
      </c>
      <c r="G236" s="252"/>
      <c r="H236" s="240"/>
      <c r="I236" s="241"/>
      <c r="J236" s="240"/>
      <c r="K236" s="256"/>
      <c r="L236" s="243"/>
      <c r="M236" s="244"/>
      <c r="N236" s="234">
        <f>SUM(N237:N238)</f>
        <v>7800000</v>
      </c>
      <c r="O236" s="235"/>
      <c r="P236" s="997"/>
      <c r="Q236" s="997"/>
      <c r="R236" s="246"/>
      <c r="T236" s="252"/>
      <c r="U236" s="240"/>
      <c r="V236" s="241"/>
      <c r="W236" s="240"/>
      <c r="X236" s="256"/>
      <c r="Y236" s="243"/>
      <c r="Z236" s="244"/>
      <c r="AA236" s="234"/>
      <c r="AC236" s="1031"/>
    </row>
    <row r="237" spans="1:29" ht="14.45" customHeight="1">
      <c r="A237" s="224"/>
      <c r="B237" s="225"/>
      <c r="C237" s="226"/>
      <c r="D237" s="521"/>
      <c r="E237" s="521"/>
      <c r="F237" s="248" t="s">
        <v>949</v>
      </c>
      <c r="G237" s="252">
        <v>600000</v>
      </c>
      <c r="H237" s="240" t="s">
        <v>277</v>
      </c>
      <c r="I237" s="242">
        <v>12</v>
      </c>
      <c r="J237" s="240"/>
      <c r="K237" s="256"/>
      <c r="L237" s="243"/>
      <c r="M237" s="244" t="s">
        <v>283</v>
      </c>
      <c r="N237" s="1570">
        <f>G237*I237</f>
        <v>7200000</v>
      </c>
      <c r="O237" s="235"/>
      <c r="P237" s="997"/>
      <c r="Q237" s="997"/>
      <c r="R237" s="246"/>
      <c r="T237" s="252"/>
      <c r="U237" s="240"/>
      <c r="V237" s="242"/>
      <c r="W237" s="240"/>
      <c r="X237" s="256"/>
      <c r="Y237" s="243"/>
      <c r="Z237" s="244"/>
      <c r="AA237" s="1570"/>
      <c r="AC237" s="1031"/>
    </row>
    <row r="238" spans="1:29" ht="14.45" customHeight="1">
      <c r="A238" s="224"/>
      <c r="B238" s="225"/>
      <c r="C238" s="226"/>
      <c r="D238" s="521"/>
      <c r="E238" s="521"/>
      <c r="F238" s="248" t="s">
        <v>1237</v>
      </c>
      <c r="G238" s="252">
        <v>50000</v>
      </c>
      <c r="H238" s="240" t="s">
        <v>277</v>
      </c>
      <c r="I238" s="256">
        <v>12</v>
      </c>
      <c r="J238" s="240"/>
      <c r="K238" s="256"/>
      <c r="L238" s="243"/>
      <c r="M238" s="244" t="s">
        <v>283</v>
      </c>
      <c r="N238" s="1570">
        <f>G238*I238</f>
        <v>600000</v>
      </c>
      <c r="O238" s="235"/>
      <c r="P238" s="997"/>
      <c r="Q238" s="997"/>
      <c r="R238" s="246"/>
      <c r="T238" s="252"/>
      <c r="U238" s="240"/>
      <c r="V238" s="256"/>
      <c r="W238" s="240"/>
      <c r="X238" s="256"/>
      <c r="Y238" s="243"/>
      <c r="Z238" s="244"/>
      <c r="AA238" s="1570"/>
      <c r="AC238" s="1031"/>
    </row>
    <row r="239" spans="1:29" ht="14.45" customHeight="1">
      <c r="A239" s="224"/>
      <c r="B239" s="225"/>
      <c r="C239" s="226"/>
      <c r="D239" s="521"/>
      <c r="E239" s="521"/>
      <c r="F239" s="231" t="s">
        <v>1327</v>
      </c>
      <c r="G239" s="252"/>
      <c r="H239" s="240"/>
      <c r="I239" s="256"/>
      <c r="J239" s="240"/>
      <c r="K239" s="256"/>
      <c r="L239" s="243"/>
      <c r="M239" s="244"/>
      <c r="N239" s="234">
        <f>SUM(N240:N241)</f>
        <v>6000000</v>
      </c>
      <c r="O239" s="235"/>
      <c r="P239" s="997"/>
      <c r="Q239" s="997"/>
      <c r="R239" s="246"/>
      <c r="T239" s="252"/>
      <c r="U239" s="240"/>
      <c r="V239" s="256"/>
      <c r="W239" s="240"/>
      <c r="X239" s="256"/>
      <c r="Y239" s="243"/>
      <c r="Z239" s="244"/>
      <c r="AA239" s="234"/>
      <c r="AC239" s="1031"/>
    </row>
    <row r="240" spans="1:29" ht="14.45" customHeight="1">
      <c r="A240" s="224"/>
      <c r="B240" s="225"/>
      <c r="C240" s="226"/>
      <c r="D240" s="521"/>
      <c r="E240" s="521"/>
      <c r="F240" s="248" t="s">
        <v>949</v>
      </c>
      <c r="G240" s="252">
        <v>450000</v>
      </c>
      <c r="H240" s="240" t="s">
        <v>1175</v>
      </c>
      <c r="I240" s="242">
        <v>12</v>
      </c>
      <c r="J240" s="240"/>
      <c r="K240" s="256"/>
      <c r="L240" s="243"/>
      <c r="M240" s="244" t="s">
        <v>1176</v>
      </c>
      <c r="N240" s="1570">
        <f>G240*I240</f>
        <v>5400000</v>
      </c>
      <c r="O240" s="235"/>
      <c r="P240" s="997"/>
      <c r="Q240" s="997"/>
      <c r="R240" s="246"/>
      <c r="T240" s="252"/>
      <c r="U240" s="240"/>
      <c r="V240" s="242"/>
      <c r="W240" s="240"/>
      <c r="X240" s="256"/>
      <c r="Y240" s="243"/>
      <c r="Z240" s="244"/>
      <c r="AA240" s="1570"/>
      <c r="AC240" s="1031"/>
    </row>
    <row r="241" spans="1:29" ht="14.45" customHeight="1">
      <c r="A241" s="224"/>
      <c r="B241" s="225"/>
      <c r="C241" s="226"/>
      <c r="D241" s="521"/>
      <c r="E241" s="521"/>
      <c r="F241" s="248" t="s">
        <v>1237</v>
      </c>
      <c r="G241" s="252">
        <v>50000</v>
      </c>
      <c r="H241" s="240" t="s">
        <v>1175</v>
      </c>
      <c r="I241" s="256">
        <v>12</v>
      </c>
      <c r="J241" s="240"/>
      <c r="K241" s="256"/>
      <c r="L241" s="243"/>
      <c r="M241" s="244" t="s">
        <v>1176</v>
      </c>
      <c r="N241" s="1570">
        <f>G241*I241</f>
        <v>600000</v>
      </c>
      <c r="O241" s="235"/>
      <c r="P241" s="997"/>
      <c r="Q241" s="997"/>
      <c r="R241" s="246"/>
      <c r="T241" s="252"/>
      <c r="U241" s="240"/>
      <c r="V241" s="256"/>
      <c r="W241" s="240"/>
      <c r="X241" s="256"/>
      <c r="Y241" s="243"/>
      <c r="Z241" s="244"/>
      <c r="AA241" s="1570"/>
      <c r="AC241" s="1031"/>
    </row>
    <row r="242" spans="1:29" ht="14.45" customHeight="1">
      <c r="A242" s="224"/>
      <c r="B242" s="225"/>
      <c r="C242" s="226"/>
      <c r="D242" s="521"/>
      <c r="E242" s="521"/>
      <c r="F242" s="231" t="s">
        <v>1328</v>
      </c>
      <c r="G242" s="252"/>
      <c r="H242" s="240"/>
      <c r="I242" s="241"/>
      <c r="J242" s="240"/>
      <c r="K242" s="242"/>
      <c r="L242" s="243"/>
      <c r="M242" s="244"/>
      <c r="N242" s="234">
        <f>SUM(N243:N244)</f>
        <v>6600000</v>
      </c>
      <c r="O242" s="235"/>
      <c r="P242" s="997"/>
      <c r="Q242" s="997"/>
      <c r="R242" s="246"/>
      <c r="T242" s="252"/>
      <c r="U242" s="240"/>
      <c r="V242" s="241"/>
      <c r="W242" s="240"/>
      <c r="X242" s="242"/>
      <c r="Y242" s="243"/>
      <c r="Z242" s="244"/>
      <c r="AA242" s="234"/>
      <c r="AC242" s="1031"/>
    </row>
    <row r="243" spans="1:29" ht="14.45" customHeight="1">
      <c r="A243" s="224"/>
      <c r="B243" s="225"/>
      <c r="C243" s="226"/>
      <c r="D243" s="521"/>
      <c r="E243" s="521"/>
      <c r="F243" s="248" t="s">
        <v>949</v>
      </c>
      <c r="G243" s="252">
        <v>450000</v>
      </c>
      <c r="H243" s="240" t="s">
        <v>277</v>
      </c>
      <c r="I243" s="242">
        <v>12</v>
      </c>
      <c r="J243" s="240"/>
      <c r="K243" s="242"/>
      <c r="L243" s="243"/>
      <c r="M243" s="244" t="s">
        <v>283</v>
      </c>
      <c r="N243" s="1570">
        <f>G243*I243</f>
        <v>5400000</v>
      </c>
      <c r="O243" s="235"/>
      <c r="P243" s="997"/>
      <c r="Q243" s="997"/>
      <c r="R243" s="246"/>
      <c r="T243" s="252"/>
      <c r="U243" s="240"/>
      <c r="V243" s="242"/>
      <c r="W243" s="240"/>
      <c r="X243" s="242"/>
      <c r="Y243" s="243"/>
      <c r="Z243" s="244"/>
      <c r="AA243" s="1570"/>
      <c r="AC243" s="1031"/>
    </row>
    <row r="244" spans="1:29" ht="14.45" customHeight="1">
      <c r="A244" s="224"/>
      <c r="B244" s="225"/>
      <c r="C244" s="226"/>
      <c r="D244" s="521"/>
      <c r="E244" s="521"/>
      <c r="F244" s="248" t="s">
        <v>1239</v>
      </c>
      <c r="G244" s="252">
        <v>100000</v>
      </c>
      <c r="H244" s="240" t="s">
        <v>277</v>
      </c>
      <c r="I244" s="256">
        <v>12</v>
      </c>
      <c r="J244" s="240"/>
      <c r="K244" s="256"/>
      <c r="L244" s="243"/>
      <c r="M244" s="244" t="s">
        <v>283</v>
      </c>
      <c r="N244" s="1570">
        <f>G244*I244</f>
        <v>1200000</v>
      </c>
      <c r="O244" s="235"/>
      <c r="P244" s="997"/>
      <c r="Q244" s="997"/>
      <c r="R244" s="246"/>
      <c r="T244" s="252"/>
      <c r="U244" s="240"/>
      <c r="V244" s="256"/>
      <c r="W244" s="240"/>
      <c r="X244" s="256"/>
      <c r="Y244" s="243"/>
      <c r="Z244" s="244"/>
      <c r="AA244" s="1570"/>
      <c r="AC244" s="1031"/>
    </row>
    <row r="245" spans="1:29" ht="14.45" customHeight="1">
      <c r="A245" s="224"/>
      <c r="B245" s="225"/>
      <c r="C245" s="226"/>
      <c r="D245" s="521"/>
      <c r="E245" s="521"/>
      <c r="F245" s="231" t="s">
        <v>1329</v>
      </c>
      <c r="G245" s="252"/>
      <c r="H245" s="240"/>
      <c r="I245" s="241"/>
      <c r="J245" s="240"/>
      <c r="K245" s="256"/>
      <c r="L245" s="243"/>
      <c r="M245" s="244"/>
      <c r="N245" s="234">
        <f>SUM(N246:N247)</f>
        <v>6600000</v>
      </c>
      <c r="O245" s="235"/>
      <c r="P245" s="997"/>
      <c r="Q245" s="997"/>
      <c r="R245" s="246"/>
      <c r="T245" s="252"/>
      <c r="U245" s="240"/>
      <c r="V245" s="241"/>
      <c r="W245" s="240"/>
      <c r="X245" s="256"/>
      <c r="Y245" s="243"/>
      <c r="Z245" s="244"/>
      <c r="AA245" s="234"/>
      <c r="AC245" s="1031"/>
    </row>
    <row r="246" spans="1:29" ht="14.45" customHeight="1">
      <c r="A246" s="224"/>
      <c r="B246" s="225"/>
      <c r="C246" s="226"/>
      <c r="D246" s="521"/>
      <c r="E246" s="521"/>
      <c r="F246" s="248" t="s">
        <v>949</v>
      </c>
      <c r="G246" s="252">
        <v>450000</v>
      </c>
      <c r="H246" s="240" t="s">
        <v>277</v>
      </c>
      <c r="I246" s="242">
        <v>12</v>
      </c>
      <c r="J246" s="240"/>
      <c r="K246" s="256"/>
      <c r="L246" s="243"/>
      <c r="M246" s="244" t="s">
        <v>283</v>
      </c>
      <c r="N246" s="1570">
        <f>G246*I246</f>
        <v>5400000</v>
      </c>
      <c r="O246" s="235"/>
      <c r="P246" s="997"/>
      <c r="Q246" s="997"/>
      <c r="R246" s="246"/>
      <c r="T246" s="252"/>
      <c r="U246" s="240"/>
      <c r="V246" s="242"/>
      <c r="W246" s="240"/>
      <c r="X246" s="256"/>
      <c r="Y246" s="243"/>
      <c r="Z246" s="244"/>
      <c r="AA246" s="1570"/>
      <c r="AC246" s="1031"/>
    </row>
    <row r="247" spans="1:29" ht="14.45" customHeight="1">
      <c r="A247" s="224"/>
      <c r="B247" s="225"/>
      <c r="C247" s="226"/>
      <c r="D247" s="521"/>
      <c r="E247" s="521"/>
      <c r="F247" s="248" t="s">
        <v>1237</v>
      </c>
      <c r="G247" s="252">
        <v>100000</v>
      </c>
      <c r="H247" s="240" t="s">
        <v>1175</v>
      </c>
      <c r="I247" s="256">
        <v>12</v>
      </c>
      <c r="J247" s="240"/>
      <c r="K247" s="256"/>
      <c r="L247" s="243"/>
      <c r="M247" s="244" t="s">
        <v>283</v>
      </c>
      <c r="N247" s="1570">
        <f>G247*I247</f>
        <v>1200000</v>
      </c>
      <c r="O247" s="235"/>
      <c r="P247" s="997"/>
      <c r="Q247" s="997"/>
      <c r="R247" s="246"/>
      <c r="T247" s="252"/>
      <c r="U247" s="240"/>
      <c r="V247" s="256"/>
      <c r="W247" s="240"/>
      <c r="X247" s="256"/>
      <c r="Y247" s="243"/>
      <c r="Z247" s="244"/>
      <c r="AA247" s="1570"/>
      <c r="AC247" s="1031"/>
    </row>
    <row r="248" spans="1:29" ht="14.45" customHeight="1">
      <c r="A248" s="224"/>
      <c r="B248" s="225"/>
      <c r="C248" s="226"/>
      <c r="D248" s="521"/>
      <c r="E248" s="521"/>
      <c r="F248" s="231" t="s">
        <v>1330</v>
      </c>
      <c r="G248" s="252"/>
      <c r="H248" s="240"/>
      <c r="I248" s="241"/>
      <c r="J248" s="240"/>
      <c r="K248" s="256"/>
      <c r="L248" s="243"/>
      <c r="M248" s="244"/>
      <c r="N248" s="234">
        <f>SUM(N249:N250)</f>
        <v>7344000</v>
      </c>
      <c r="O248" s="235"/>
      <c r="P248" s="997"/>
      <c r="Q248" s="997"/>
      <c r="R248" s="246"/>
      <c r="T248" s="252"/>
      <c r="U248" s="240"/>
      <c r="V248" s="241"/>
      <c r="W248" s="240"/>
      <c r="X248" s="256"/>
      <c r="Y248" s="243"/>
      <c r="Z248" s="244"/>
      <c r="AA248" s="234"/>
      <c r="AC248" s="1031"/>
    </row>
    <row r="249" spans="1:29" ht="14.45" customHeight="1">
      <c r="A249" s="224"/>
      <c r="B249" s="225"/>
      <c r="C249" s="226"/>
      <c r="D249" s="521"/>
      <c r="E249" s="521"/>
      <c r="F249" s="248" t="s">
        <v>949</v>
      </c>
      <c r="G249" s="252">
        <v>562000</v>
      </c>
      <c r="H249" s="240" t="s">
        <v>277</v>
      </c>
      <c r="I249" s="242">
        <v>12</v>
      </c>
      <c r="J249" s="240"/>
      <c r="K249" s="256"/>
      <c r="L249" s="243"/>
      <c r="M249" s="244" t="s">
        <v>283</v>
      </c>
      <c r="N249" s="1570">
        <f>G249*I249</f>
        <v>6744000</v>
      </c>
      <c r="O249" s="235"/>
      <c r="P249" s="997"/>
      <c r="Q249" s="997"/>
      <c r="R249" s="246"/>
      <c r="T249" s="252"/>
      <c r="U249" s="240"/>
      <c r="V249" s="242"/>
      <c r="W249" s="240"/>
      <c r="X249" s="256"/>
      <c r="Y249" s="243"/>
      <c r="Z249" s="244"/>
      <c r="AA249" s="1570"/>
      <c r="AC249" s="1031"/>
    </row>
    <row r="250" spans="1:29" ht="14.45" customHeight="1">
      <c r="A250" s="224"/>
      <c r="B250" s="225"/>
      <c r="C250" s="226"/>
      <c r="D250" s="521"/>
      <c r="E250" s="521"/>
      <c r="F250" s="248" t="s">
        <v>1237</v>
      </c>
      <c r="G250" s="252">
        <v>50000</v>
      </c>
      <c r="H250" s="240" t="s">
        <v>277</v>
      </c>
      <c r="I250" s="256">
        <v>12</v>
      </c>
      <c r="J250" s="240"/>
      <c r="K250" s="256"/>
      <c r="L250" s="243"/>
      <c r="M250" s="244" t="s">
        <v>283</v>
      </c>
      <c r="N250" s="1570">
        <f>G250*I250</f>
        <v>600000</v>
      </c>
      <c r="O250" s="235"/>
      <c r="P250" s="997"/>
      <c r="Q250" s="997"/>
      <c r="R250" s="246"/>
      <c r="T250" s="252"/>
      <c r="U250" s="240"/>
      <c r="V250" s="256"/>
      <c r="W250" s="240"/>
      <c r="X250" s="256"/>
      <c r="Y250" s="243"/>
      <c r="Z250" s="244"/>
      <c r="AA250" s="1570"/>
      <c r="AC250" s="1031"/>
    </row>
    <row r="251" spans="1:29" ht="14.45" customHeight="1">
      <c r="A251" s="224"/>
      <c r="B251" s="225"/>
      <c r="C251" s="226"/>
      <c r="D251" s="521"/>
      <c r="E251" s="521"/>
      <c r="F251" s="231" t="s">
        <v>1331</v>
      </c>
      <c r="G251" s="252"/>
      <c r="H251" s="240"/>
      <c r="I251" s="241"/>
      <c r="J251" s="240"/>
      <c r="K251" s="256"/>
      <c r="L251" s="243"/>
      <c r="M251" s="244"/>
      <c r="N251" s="234">
        <f>SUM(N252:N253)</f>
        <v>2400000</v>
      </c>
      <c r="O251" s="235"/>
      <c r="P251" s="997"/>
      <c r="Q251" s="997"/>
      <c r="R251" s="246"/>
      <c r="T251" s="252"/>
      <c r="U251" s="240"/>
      <c r="V251" s="241"/>
      <c r="W251" s="240"/>
      <c r="X251" s="256"/>
      <c r="Y251" s="243"/>
      <c r="Z251" s="244"/>
      <c r="AA251" s="234"/>
      <c r="AC251" s="1031"/>
    </row>
    <row r="252" spans="1:29" ht="14.45" customHeight="1">
      <c r="A252" s="224"/>
      <c r="B252" s="225"/>
      <c r="C252" s="226"/>
      <c r="D252" s="521"/>
      <c r="E252" s="1671"/>
      <c r="F252" s="248" t="s">
        <v>1236</v>
      </c>
      <c r="G252" s="252">
        <v>150000</v>
      </c>
      <c r="H252" s="240" t="s">
        <v>277</v>
      </c>
      <c r="I252" s="242">
        <v>12</v>
      </c>
      <c r="J252" s="240"/>
      <c r="K252" s="256"/>
      <c r="L252" s="243"/>
      <c r="M252" s="244" t="s">
        <v>283</v>
      </c>
      <c r="N252" s="1570">
        <f>G252*I252</f>
        <v>1800000</v>
      </c>
      <c r="O252" s="235"/>
      <c r="P252" s="997"/>
      <c r="Q252" s="997"/>
      <c r="R252" s="246"/>
      <c r="T252" s="252"/>
      <c r="U252" s="240"/>
      <c r="V252" s="242"/>
      <c r="W252" s="240"/>
      <c r="X252" s="256"/>
      <c r="Y252" s="243"/>
      <c r="Z252" s="244"/>
      <c r="AA252" s="1570"/>
      <c r="AC252" s="1031"/>
    </row>
    <row r="253" spans="1:29" ht="14.45" customHeight="1">
      <c r="A253" s="224"/>
      <c r="B253" s="225"/>
      <c r="C253" s="226"/>
      <c r="D253" s="521"/>
      <c r="E253" s="1671"/>
      <c r="F253" s="248" t="s">
        <v>1237</v>
      </c>
      <c r="G253" s="252">
        <v>50000</v>
      </c>
      <c r="H253" s="240" t="s">
        <v>1175</v>
      </c>
      <c r="I253" s="256">
        <v>12</v>
      </c>
      <c r="J253" s="240"/>
      <c r="K253" s="256"/>
      <c r="L253" s="243"/>
      <c r="M253" s="244" t="s">
        <v>283</v>
      </c>
      <c r="N253" s="1570">
        <f>G253*I253</f>
        <v>600000</v>
      </c>
      <c r="O253" s="235"/>
      <c r="P253" s="997"/>
      <c r="Q253" s="997"/>
      <c r="R253" s="246"/>
      <c r="T253" s="252"/>
      <c r="U253" s="240"/>
      <c r="V253" s="256"/>
      <c r="W253" s="240"/>
      <c r="X253" s="256"/>
      <c r="Y253" s="243"/>
      <c r="Z253" s="244"/>
      <c r="AA253" s="1570"/>
      <c r="AC253" s="1031"/>
    </row>
    <row r="254" spans="1:29" ht="14.45" customHeight="1">
      <c r="A254" s="224"/>
      <c r="B254" s="225"/>
      <c r="C254" s="226"/>
      <c r="D254" s="521"/>
      <c r="E254" s="1671"/>
      <c r="F254" s="231" t="s">
        <v>1332</v>
      </c>
      <c r="G254" s="252"/>
      <c r="H254" s="240"/>
      <c r="I254" s="256"/>
      <c r="J254" s="240"/>
      <c r="K254" s="256"/>
      <c r="L254" s="243"/>
      <c r="M254" s="244"/>
      <c r="N254" s="234">
        <f>SUM(N255:N256)</f>
        <v>3240000</v>
      </c>
      <c r="O254" s="235"/>
      <c r="P254" s="997"/>
      <c r="Q254" s="997"/>
      <c r="R254" s="246"/>
      <c r="T254" s="252"/>
      <c r="U254" s="240"/>
      <c r="V254" s="256"/>
      <c r="W254" s="240"/>
      <c r="X254" s="256"/>
      <c r="Y254" s="243"/>
      <c r="Z254" s="244"/>
      <c r="AA254" s="234"/>
      <c r="AC254" s="1031"/>
    </row>
    <row r="255" spans="1:29" ht="14.45" customHeight="1">
      <c r="A255" s="224"/>
      <c r="B255" s="225"/>
      <c r="C255" s="226"/>
      <c r="D255" s="521"/>
      <c r="E255" s="1671"/>
      <c r="F255" s="248" t="s">
        <v>949</v>
      </c>
      <c r="G255" s="252">
        <v>220000</v>
      </c>
      <c r="H255" s="240" t="s">
        <v>277</v>
      </c>
      <c r="I255" s="242">
        <v>12</v>
      </c>
      <c r="J255" s="240"/>
      <c r="K255" s="256"/>
      <c r="L255" s="243"/>
      <c r="M255" s="244" t="s">
        <v>283</v>
      </c>
      <c r="N255" s="1570">
        <f>G255*I255</f>
        <v>2640000</v>
      </c>
      <c r="O255" s="235"/>
      <c r="P255" s="997"/>
      <c r="Q255" s="997"/>
      <c r="R255" s="246"/>
      <c r="T255" s="252"/>
      <c r="U255" s="240"/>
      <c r="V255" s="242"/>
      <c r="W255" s="240"/>
      <c r="X255" s="256"/>
      <c r="Y255" s="243"/>
      <c r="Z255" s="244"/>
      <c r="AA255" s="1570"/>
      <c r="AC255" s="1031"/>
    </row>
    <row r="256" spans="1:29" ht="14.45" customHeight="1">
      <c r="A256" s="224"/>
      <c r="B256" s="225"/>
      <c r="C256" s="226"/>
      <c r="D256" s="521"/>
      <c r="E256" s="1671"/>
      <c r="F256" s="248" t="s">
        <v>1239</v>
      </c>
      <c r="G256" s="252">
        <v>50000</v>
      </c>
      <c r="H256" s="240" t="s">
        <v>277</v>
      </c>
      <c r="I256" s="256">
        <v>12</v>
      </c>
      <c r="J256" s="240"/>
      <c r="K256" s="256"/>
      <c r="L256" s="243"/>
      <c r="M256" s="244" t="s">
        <v>1176</v>
      </c>
      <c r="N256" s="1570">
        <f>G256*I256</f>
        <v>600000</v>
      </c>
      <c r="O256" s="235"/>
      <c r="P256" s="997"/>
      <c r="Q256" s="997"/>
      <c r="R256" s="246"/>
      <c r="T256" s="252"/>
      <c r="U256" s="240"/>
      <c r="V256" s="256"/>
      <c r="W256" s="240"/>
      <c r="X256" s="256"/>
      <c r="Y256" s="243"/>
      <c r="Z256" s="244"/>
      <c r="AA256" s="1570"/>
      <c r="AC256" s="1031"/>
    </row>
    <row r="257" spans="1:29" ht="14.45" customHeight="1">
      <c r="A257" s="224"/>
      <c r="B257" s="225"/>
      <c r="C257" s="226"/>
      <c r="D257" s="521"/>
      <c r="E257" s="1671"/>
      <c r="F257" s="231" t="s">
        <v>1333</v>
      </c>
      <c r="G257" s="252"/>
      <c r="H257" s="240"/>
      <c r="I257" s="256"/>
      <c r="J257" s="240"/>
      <c r="K257" s="256"/>
      <c r="L257" s="243"/>
      <c r="M257" s="244"/>
      <c r="N257" s="234">
        <f>SUM(N258:N259)</f>
        <v>6000000</v>
      </c>
      <c r="O257" s="235"/>
      <c r="P257" s="997"/>
      <c r="Q257" s="997"/>
      <c r="R257" s="246"/>
      <c r="T257" s="252"/>
      <c r="U257" s="240"/>
      <c r="V257" s="256"/>
      <c r="W257" s="240"/>
      <c r="X257" s="256"/>
      <c r="Y257" s="243"/>
      <c r="Z257" s="244"/>
      <c r="AA257" s="234"/>
      <c r="AC257" s="1031"/>
    </row>
    <row r="258" spans="1:29" ht="14.45" customHeight="1">
      <c r="A258" s="224"/>
      <c r="B258" s="225"/>
      <c r="C258" s="226"/>
      <c r="D258" s="521"/>
      <c r="E258" s="1671"/>
      <c r="F258" s="248" t="s">
        <v>1236</v>
      </c>
      <c r="G258" s="252">
        <v>450000</v>
      </c>
      <c r="H258" s="240" t="s">
        <v>1175</v>
      </c>
      <c r="I258" s="242">
        <v>12</v>
      </c>
      <c r="J258" s="240"/>
      <c r="K258" s="256"/>
      <c r="L258" s="243"/>
      <c r="M258" s="244" t="s">
        <v>281</v>
      </c>
      <c r="N258" s="1570">
        <f>G258*I258</f>
        <v>5400000</v>
      </c>
      <c r="O258" s="235"/>
      <c r="P258" s="997"/>
      <c r="Q258" s="997"/>
      <c r="R258" s="246"/>
      <c r="T258" s="252"/>
      <c r="U258" s="240"/>
      <c r="V258" s="242"/>
      <c r="W258" s="240"/>
      <c r="X258" s="256"/>
      <c r="Y258" s="243"/>
      <c r="Z258" s="244"/>
      <c r="AA258" s="1570"/>
      <c r="AC258" s="1031"/>
    </row>
    <row r="259" spans="1:29" ht="14.45" customHeight="1">
      <c r="A259" s="224"/>
      <c r="B259" s="225"/>
      <c r="C259" s="226"/>
      <c r="D259" s="521"/>
      <c r="E259" s="1671"/>
      <c r="F259" s="248" t="s">
        <v>1334</v>
      </c>
      <c r="G259" s="252">
        <v>50000</v>
      </c>
      <c r="H259" s="240" t="s">
        <v>282</v>
      </c>
      <c r="I259" s="256">
        <v>12</v>
      </c>
      <c r="J259" s="240"/>
      <c r="K259" s="256"/>
      <c r="L259" s="243"/>
      <c r="M259" s="244" t="s">
        <v>1176</v>
      </c>
      <c r="N259" s="1570">
        <f>G259*I259</f>
        <v>600000</v>
      </c>
      <c r="O259" s="235"/>
      <c r="P259" s="997"/>
      <c r="Q259" s="997"/>
      <c r="R259" s="246"/>
      <c r="T259" s="252"/>
      <c r="U259" s="240"/>
      <c r="V259" s="256"/>
      <c r="W259" s="240"/>
      <c r="X259" s="256"/>
      <c r="Y259" s="243"/>
      <c r="Z259" s="244"/>
      <c r="AA259" s="1570"/>
      <c r="AC259" s="1031"/>
    </row>
    <row r="260" spans="1:29" ht="14.45" customHeight="1">
      <c r="A260" s="224"/>
      <c r="B260" s="225"/>
      <c r="C260" s="226"/>
      <c r="D260" s="521"/>
      <c r="E260" s="521"/>
      <c r="F260" s="231" t="s">
        <v>1335</v>
      </c>
      <c r="G260" s="252"/>
      <c r="H260" s="240"/>
      <c r="I260" s="241"/>
      <c r="J260" s="240"/>
      <c r="K260" s="256"/>
      <c r="L260" s="243"/>
      <c r="M260" s="244"/>
      <c r="N260" s="234">
        <f>SUM(N261:N262)</f>
        <v>2640000</v>
      </c>
      <c r="O260" s="235"/>
      <c r="P260" s="997"/>
      <c r="Q260" s="997"/>
      <c r="R260" s="246"/>
      <c r="T260" s="252"/>
      <c r="U260" s="240"/>
      <c r="V260" s="241"/>
      <c r="W260" s="240"/>
      <c r="X260" s="256"/>
      <c r="Y260" s="243"/>
      <c r="Z260" s="244"/>
      <c r="AA260" s="234"/>
      <c r="AC260" s="1031"/>
    </row>
    <row r="261" spans="1:29" ht="14.45" customHeight="1">
      <c r="A261" s="224"/>
      <c r="B261" s="225"/>
      <c r="C261" s="226"/>
      <c r="D261" s="521"/>
      <c r="E261" s="521"/>
      <c r="F261" s="248" t="s">
        <v>1236</v>
      </c>
      <c r="G261" s="252">
        <v>170000</v>
      </c>
      <c r="H261" s="240" t="s">
        <v>282</v>
      </c>
      <c r="I261" s="242">
        <v>12</v>
      </c>
      <c r="J261" s="240"/>
      <c r="K261" s="256"/>
      <c r="L261" s="243"/>
      <c r="M261" s="244" t="s">
        <v>1176</v>
      </c>
      <c r="N261" s="1570">
        <f>G261*I261</f>
        <v>2040000</v>
      </c>
      <c r="O261" s="235"/>
      <c r="P261" s="997"/>
      <c r="Q261" s="997"/>
      <c r="R261" s="246"/>
      <c r="T261" s="252"/>
      <c r="U261" s="240"/>
      <c r="V261" s="242"/>
      <c r="W261" s="240"/>
      <c r="X261" s="256"/>
      <c r="Y261" s="243"/>
      <c r="Z261" s="244"/>
      <c r="AA261" s="1570"/>
      <c r="AC261" s="1031"/>
    </row>
    <row r="262" spans="1:29" ht="14.45" customHeight="1">
      <c r="A262" s="224"/>
      <c r="B262" s="225"/>
      <c r="C262" s="226"/>
      <c r="D262" s="521"/>
      <c r="E262" s="521"/>
      <c r="F262" s="248" t="s">
        <v>1239</v>
      </c>
      <c r="G262" s="252">
        <v>50000</v>
      </c>
      <c r="H262" s="240" t="s">
        <v>1175</v>
      </c>
      <c r="I262" s="256">
        <v>12</v>
      </c>
      <c r="J262" s="240"/>
      <c r="K262" s="256"/>
      <c r="L262" s="243"/>
      <c r="M262" s="244" t="s">
        <v>1176</v>
      </c>
      <c r="N262" s="1570">
        <f>G262*I262</f>
        <v>600000</v>
      </c>
      <c r="O262" s="235"/>
      <c r="P262" s="997"/>
      <c r="Q262" s="997"/>
      <c r="R262" s="246"/>
      <c r="T262" s="252"/>
      <c r="U262" s="240"/>
      <c r="V262" s="256"/>
      <c r="W262" s="240"/>
      <c r="X262" s="256"/>
      <c r="Y262" s="243"/>
      <c r="Z262" s="244"/>
      <c r="AA262" s="1570"/>
      <c r="AC262" s="1031"/>
    </row>
    <row r="263" spans="1:29" ht="14.45" customHeight="1">
      <c r="A263" s="224"/>
      <c r="B263" s="225"/>
      <c r="C263" s="226"/>
      <c r="D263" s="521"/>
      <c r="E263" s="521"/>
      <c r="F263" s="231" t="s">
        <v>1336</v>
      </c>
      <c r="G263" s="252"/>
      <c r="H263" s="240"/>
      <c r="I263" s="241"/>
      <c r="J263" s="240"/>
      <c r="K263" s="256"/>
      <c r="L263" s="243"/>
      <c r="M263" s="244"/>
      <c r="N263" s="100">
        <f>SUM(N264:N265)</f>
        <v>2400000</v>
      </c>
      <c r="O263" s="235"/>
      <c r="P263" s="997"/>
      <c r="Q263" s="997"/>
      <c r="R263" s="246"/>
      <c r="T263" s="252"/>
      <c r="U263" s="240"/>
      <c r="V263" s="241"/>
      <c r="W263" s="240"/>
      <c r="X263" s="256"/>
      <c r="Y263" s="243"/>
      <c r="Z263" s="244"/>
      <c r="AA263" s="234"/>
      <c r="AC263" s="1031"/>
    </row>
    <row r="264" spans="1:29" ht="14.45" customHeight="1">
      <c r="A264" s="224"/>
      <c r="B264" s="225"/>
      <c r="C264" s="226"/>
      <c r="D264" s="521"/>
      <c r="E264" s="521"/>
      <c r="F264" s="248" t="s">
        <v>1337</v>
      </c>
      <c r="G264" s="252">
        <v>150000</v>
      </c>
      <c r="H264" s="240" t="s">
        <v>277</v>
      </c>
      <c r="I264" s="242">
        <v>12</v>
      </c>
      <c r="J264" s="240"/>
      <c r="K264" s="256"/>
      <c r="L264" s="243"/>
      <c r="M264" s="244" t="s">
        <v>1176</v>
      </c>
      <c r="N264" s="139">
        <f>G264*I264</f>
        <v>1800000</v>
      </c>
      <c r="O264" s="235"/>
      <c r="P264" s="997"/>
      <c r="Q264" s="997"/>
      <c r="R264" s="246"/>
      <c r="T264" s="252"/>
      <c r="U264" s="240"/>
      <c r="V264" s="242"/>
      <c r="W264" s="240"/>
      <c r="X264" s="256"/>
      <c r="Y264" s="243"/>
      <c r="Z264" s="244"/>
      <c r="AA264" s="1570"/>
      <c r="AC264" s="1031"/>
    </row>
    <row r="265" spans="1:29" ht="14.45" customHeight="1">
      <c r="A265" s="576"/>
      <c r="B265" s="278"/>
      <c r="C265" s="279"/>
      <c r="D265" s="1116"/>
      <c r="E265" s="1116"/>
      <c r="F265" s="281" t="s">
        <v>787</v>
      </c>
      <c r="G265" s="579">
        <v>50000</v>
      </c>
      <c r="H265" s="283" t="s">
        <v>277</v>
      </c>
      <c r="I265" s="592">
        <v>12</v>
      </c>
      <c r="J265" s="283"/>
      <c r="K265" s="592"/>
      <c r="L265" s="1402"/>
      <c r="M265" s="285" t="s">
        <v>1176</v>
      </c>
      <c r="N265" s="1458">
        <f>G265*I265</f>
        <v>600000</v>
      </c>
      <c r="O265" s="287"/>
      <c r="P265" s="1027"/>
      <c r="Q265" s="1027"/>
      <c r="R265" s="288"/>
      <c r="T265" s="252"/>
      <c r="U265" s="240"/>
      <c r="V265" s="256"/>
      <c r="W265" s="240"/>
      <c r="X265" s="256"/>
      <c r="Y265" s="243"/>
      <c r="Z265" s="244"/>
      <c r="AA265" s="1570"/>
      <c r="AC265" s="1031"/>
    </row>
    <row r="266" spans="1:29" ht="14.45" customHeight="1">
      <c r="A266" s="224"/>
      <c r="B266" s="225"/>
      <c r="C266" s="226"/>
      <c r="D266" s="521"/>
      <c r="E266" s="521"/>
      <c r="F266" s="231" t="s">
        <v>1338</v>
      </c>
      <c r="G266" s="252"/>
      <c r="H266" s="240"/>
      <c r="I266" s="241"/>
      <c r="J266" s="240"/>
      <c r="K266" s="256"/>
      <c r="L266" s="243"/>
      <c r="M266" s="244"/>
      <c r="N266" s="234">
        <f>SUM(N267:N270)</f>
        <v>6640000</v>
      </c>
      <c r="O266" s="235"/>
      <c r="P266" s="997"/>
      <c r="Q266" s="997"/>
      <c r="R266" s="246"/>
      <c r="T266" s="252"/>
      <c r="U266" s="240"/>
      <c r="V266" s="241"/>
      <c r="W266" s="240"/>
      <c r="X266" s="256"/>
      <c r="Y266" s="243"/>
      <c r="Z266" s="244"/>
      <c r="AA266" s="234"/>
      <c r="AC266" s="1031"/>
    </row>
    <row r="267" spans="1:29" ht="14.45" customHeight="1">
      <c r="A267" s="224"/>
      <c r="B267" s="225"/>
      <c r="C267" s="226"/>
      <c r="D267" s="521"/>
      <c r="E267" s="521"/>
      <c r="F267" s="248" t="s">
        <v>1236</v>
      </c>
      <c r="G267" s="252">
        <v>320000</v>
      </c>
      <c r="H267" s="240" t="s">
        <v>282</v>
      </c>
      <c r="I267" s="242">
        <v>12</v>
      </c>
      <c r="J267" s="240"/>
      <c r="K267" s="256"/>
      <c r="L267" s="243"/>
      <c r="M267" s="244" t="s">
        <v>1176</v>
      </c>
      <c r="N267" s="1570">
        <f>G267*I267</f>
        <v>3840000</v>
      </c>
      <c r="O267" s="235"/>
      <c r="P267" s="997"/>
      <c r="Q267" s="997"/>
      <c r="R267" s="246"/>
      <c r="T267" s="252"/>
      <c r="U267" s="240"/>
      <c r="V267" s="242"/>
      <c r="W267" s="240"/>
      <c r="X267" s="256"/>
      <c r="Y267" s="243"/>
      <c r="Z267" s="244"/>
      <c r="AA267" s="1570"/>
      <c r="AC267" s="1031"/>
    </row>
    <row r="268" spans="1:29" ht="14.45" customHeight="1">
      <c r="A268" s="224"/>
      <c r="B268" s="225"/>
      <c r="C268" s="226"/>
      <c r="D268" s="521"/>
      <c r="E268" s="521"/>
      <c r="F268" s="248" t="s">
        <v>1339</v>
      </c>
      <c r="G268" s="252">
        <v>100000</v>
      </c>
      <c r="H268" s="240" t="s">
        <v>1175</v>
      </c>
      <c r="I268" s="256">
        <v>12</v>
      </c>
      <c r="J268" s="240"/>
      <c r="K268" s="1122"/>
      <c r="L268" s="243"/>
      <c r="M268" s="244" t="s">
        <v>281</v>
      </c>
      <c r="N268" s="1570">
        <f>G268*I268</f>
        <v>1200000</v>
      </c>
      <c r="O268" s="235"/>
      <c r="P268" s="997"/>
      <c r="Q268" s="997"/>
      <c r="R268" s="246"/>
      <c r="T268" s="252"/>
      <c r="U268" s="240"/>
      <c r="V268" s="256"/>
      <c r="W268" s="240"/>
      <c r="X268" s="1122"/>
      <c r="Y268" s="243"/>
      <c r="Z268" s="244"/>
      <c r="AA268" s="1570"/>
      <c r="AC268" s="1031"/>
    </row>
    <row r="269" spans="1:29" ht="14.45" customHeight="1">
      <c r="A269" s="224"/>
      <c r="B269" s="225"/>
      <c r="C269" s="226"/>
      <c r="D269" s="521"/>
      <c r="E269" s="521"/>
      <c r="F269" s="248" t="s">
        <v>1239</v>
      </c>
      <c r="G269" s="252">
        <v>100000</v>
      </c>
      <c r="H269" s="240" t="s">
        <v>1175</v>
      </c>
      <c r="I269" s="256">
        <v>12</v>
      </c>
      <c r="J269" s="240"/>
      <c r="K269" s="256"/>
      <c r="L269" s="243"/>
      <c r="M269" s="244" t="s">
        <v>281</v>
      </c>
      <c r="N269" s="1570">
        <f>G269*I269</f>
        <v>1200000</v>
      </c>
      <c r="O269" s="235"/>
      <c r="P269" s="997"/>
      <c r="Q269" s="997"/>
      <c r="R269" s="246"/>
      <c r="T269" s="252"/>
      <c r="U269" s="240"/>
      <c r="V269" s="256"/>
      <c r="W269" s="240"/>
      <c r="X269" s="256"/>
      <c r="Y269" s="243"/>
      <c r="Z269" s="244"/>
      <c r="AA269" s="1570"/>
      <c r="AC269" s="1031"/>
    </row>
    <row r="270" spans="1:29" ht="14.45" customHeight="1">
      <c r="A270" s="224"/>
      <c r="B270" s="225"/>
      <c r="C270" s="226"/>
      <c r="D270" s="521"/>
      <c r="E270" s="521"/>
      <c r="F270" s="248" t="s">
        <v>1340</v>
      </c>
      <c r="G270" s="252">
        <v>200000</v>
      </c>
      <c r="H270" s="240" t="s">
        <v>1175</v>
      </c>
      <c r="I270" s="256">
        <v>2</v>
      </c>
      <c r="J270" s="240"/>
      <c r="K270" s="256"/>
      <c r="L270" s="243"/>
      <c r="M270" s="244" t="s">
        <v>1176</v>
      </c>
      <c r="N270" s="1570">
        <f>G270*I270</f>
        <v>400000</v>
      </c>
      <c r="O270" s="235"/>
      <c r="P270" s="997"/>
      <c r="Q270" s="997"/>
      <c r="R270" s="246"/>
      <c r="T270" s="252"/>
      <c r="U270" s="240"/>
      <c r="V270" s="256"/>
      <c r="W270" s="240"/>
      <c r="X270" s="256"/>
      <c r="Y270" s="243"/>
      <c r="Z270" s="244"/>
      <c r="AA270" s="1570"/>
      <c r="AC270" s="1031"/>
    </row>
    <row r="271" spans="1:29" ht="14.45" customHeight="1">
      <c r="A271" s="224"/>
      <c r="B271" s="225"/>
      <c r="C271" s="226"/>
      <c r="D271" s="521"/>
      <c r="E271" s="521"/>
      <c r="F271" s="231" t="s">
        <v>1341</v>
      </c>
      <c r="G271" s="252"/>
      <c r="H271" s="240"/>
      <c r="I271" s="256"/>
      <c r="J271" s="240"/>
      <c r="K271" s="256"/>
      <c r="L271" s="243"/>
      <c r="M271" s="244"/>
      <c r="N271" s="234">
        <f>SUM(N272:N273)</f>
        <v>5400000</v>
      </c>
      <c r="O271" s="235"/>
      <c r="P271" s="997"/>
      <c r="Q271" s="997"/>
      <c r="R271" s="246"/>
      <c r="T271" s="252"/>
      <c r="U271" s="240"/>
      <c r="V271" s="256"/>
      <c r="W271" s="240"/>
      <c r="X271" s="256"/>
      <c r="Y271" s="243"/>
      <c r="Z271" s="244"/>
      <c r="AA271" s="234"/>
      <c r="AC271" s="1031"/>
    </row>
    <row r="272" spans="1:29" ht="14.45" customHeight="1">
      <c r="A272" s="224"/>
      <c r="B272" s="225"/>
      <c r="C272" s="226"/>
      <c r="D272" s="521"/>
      <c r="E272" s="521"/>
      <c r="F272" s="248" t="s">
        <v>1236</v>
      </c>
      <c r="G272" s="252">
        <v>350000</v>
      </c>
      <c r="H272" s="240" t="s">
        <v>1175</v>
      </c>
      <c r="I272" s="242">
        <v>12</v>
      </c>
      <c r="J272" s="240"/>
      <c r="K272" s="256"/>
      <c r="L272" s="243"/>
      <c r="M272" s="244" t="s">
        <v>281</v>
      </c>
      <c r="N272" s="1570">
        <f>G272*I272</f>
        <v>4200000</v>
      </c>
      <c r="O272" s="235"/>
      <c r="P272" s="997"/>
      <c r="Q272" s="997"/>
      <c r="R272" s="246"/>
      <c r="T272" s="252"/>
      <c r="U272" s="240"/>
      <c r="V272" s="242"/>
      <c r="W272" s="240"/>
      <c r="X272" s="256"/>
      <c r="Y272" s="243"/>
      <c r="Z272" s="244"/>
      <c r="AA272" s="1570"/>
      <c r="AC272" s="1031"/>
    </row>
    <row r="273" spans="1:29" ht="14.45" customHeight="1">
      <c r="A273" s="224"/>
      <c r="B273" s="225"/>
      <c r="C273" s="226"/>
      <c r="D273" s="521"/>
      <c r="E273" s="521"/>
      <c r="F273" s="248" t="s">
        <v>1239</v>
      </c>
      <c r="G273" s="252">
        <v>100000</v>
      </c>
      <c r="H273" s="240" t="s">
        <v>282</v>
      </c>
      <c r="I273" s="256">
        <v>12</v>
      </c>
      <c r="J273" s="240"/>
      <c r="K273" s="256"/>
      <c r="L273" s="243"/>
      <c r="M273" s="244" t="s">
        <v>1342</v>
      </c>
      <c r="N273" s="1570">
        <f>G273*I273</f>
        <v>1200000</v>
      </c>
      <c r="O273" s="235"/>
      <c r="P273" s="997"/>
      <c r="Q273" s="997"/>
      <c r="R273" s="246"/>
      <c r="T273" s="252"/>
      <c r="U273" s="240"/>
      <c r="V273" s="256"/>
      <c r="W273" s="240"/>
      <c r="X273" s="256"/>
      <c r="Y273" s="243"/>
      <c r="Z273" s="244"/>
      <c r="AA273" s="1570"/>
      <c r="AC273" s="1031"/>
    </row>
    <row r="274" spans="1:29" ht="14.45" customHeight="1">
      <c r="A274" s="224"/>
      <c r="B274" s="225"/>
      <c r="C274" s="226"/>
      <c r="D274" s="521"/>
      <c r="E274" s="521"/>
      <c r="F274" s="231" t="s">
        <v>1343</v>
      </c>
      <c r="G274" s="252"/>
      <c r="H274" s="240"/>
      <c r="I274" s="256"/>
      <c r="J274" s="240"/>
      <c r="K274" s="256"/>
      <c r="L274" s="243"/>
      <c r="M274" s="244"/>
      <c r="N274" s="234">
        <f>SUM(N275:N276)</f>
        <v>3000000</v>
      </c>
      <c r="O274" s="235"/>
      <c r="P274" s="997"/>
      <c r="Q274" s="997"/>
      <c r="R274" s="246"/>
      <c r="T274" s="252"/>
      <c r="U274" s="240"/>
      <c r="V274" s="256"/>
      <c r="W274" s="240"/>
      <c r="X274" s="256"/>
      <c r="Y274" s="243"/>
      <c r="Z274" s="244"/>
      <c r="AA274" s="234"/>
      <c r="AC274" s="1031"/>
    </row>
    <row r="275" spans="1:29" ht="14.45" customHeight="1">
      <c r="A275" s="224"/>
      <c r="B275" s="225"/>
      <c r="C275" s="226"/>
      <c r="D275" s="521"/>
      <c r="E275" s="521"/>
      <c r="F275" s="248" t="s">
        <v>1337</v>
      </c>
      <c r="G275" s="252">
        <v>200000</v>
      </c>
      <c r="H275" s="240" t="s">
        <v>282</v>
      </c>
      <c r="I275" s="242">
        <v>12</v>
      </c>
      <c r="J275" s="240"/>
      <c r="K275" s="256"/>
      <c r="L275" s="243"/>
      <c r="M275" s="244" t="s">
        <v>283</v>
      </c>
      <c r="N275" s="1570">
        <f>G275*I275</f>
        <v>2400000</v>
      </c>
      <c r="O275" s="235"/>
      <c r="P275" s="997"/>
      <c r="Q275" s="997"/>
      <c r="R275" s="246"/>
      <c r="T275" s="252"/>
      <c r="U275" s="240"/>
      <c r="V275" s="242"/>
      <c r="W275" s="240"/>
      <c r="X275" s="256"/>
      <c r="Y275" s="243"/>
      <c r="Z275" s="244"/>
      <c r="AA275" s="1570"/>
      <c r="AC275" s="1031"/>
    </row>
    <row r="276" spans="1:29" ht="14.45" customHeight="1">
      <c r="A276" s="224"/>
      <c r="B276" s="225"/>
      <c r="C276" s="226"/>
      <c r="D276" s="521"/>
      <c r="E276" s="521"/>
      <c r="F276" s="248" t="s">
        <v>1239</v>
      </c>
      <c r="G276" s="252">
        <v>50000</v>
      </c>
      <c r="H276" s="240" t="s">
        <v>282</v>
      </c>
      <c r="I276" s="256">
        <v>12</v>
      </c>
      <c r="J276" s="240"/>
      <c r="K276" s="256"/>
      <c r="L276" s="243"/>
      <c r="M276" s="244" t="s">
        <v>1176</v>
      </c>
      <c r="N276" s="1570">
        <f>G276*I276</f>
        <v>600000</v>
      </c>
      <c r="O276" s="235"/>
      <c r="P276" s="997"/>
      <c r="Q276" s="997"/>
      <c r="R276" s="246"/>
      <c r="T276" s="252"/>
      <c r="U276" s="240"/>
      <c r="V276" s="256"/>
      <c r="W276" s="240"/>
      <c r="X276" s="256"/>
      <c r="Y276" s="243"/>
      <c r="Z276" s="244"/>
      <c r="AA276" s="1570"/>
      <c r="AC276" s="1031"/>
    </row>
    <row r="277" spans="1:29" ht="14.45" customHeight="1">
      <c r="A277" s="224"/>
      <c r="B277" s="225"/>
      <c r="C277" s="226"/>
      <c r="D277" s="521"/>
      <c r="E277" s="521"/>
      <c r="F277" s="231" t="s">
        <v>1344</v>
      </c>
      <c r="G277" s="252"/>
      <c r="H277" s="240"/>
      <c r="I277" s="256"/>
      <c r="J277" s="240"/>
      <c r="K277" s="256"/>
      <c r="L277" s="243"/>
      <c r="M277" s="244"/>
      <c r="N277" s="234">
        <f>SUM(N278:N279)</f>
        <v>4800000</v>
      </c>
      <c r="O277" s="235"/>
      <c r="P277" s="997"/>
      <c r="Q277" s="997"/>
      <c r="R277" s="246"/>
      <c r="T277" s="252"/>
      <c r="U277" s="240"/>
      <c r="V277" s="256"/>
      <c r="W277" s="240"/>
      <c r="X277" s="256"/>
      <c r="Y277" s="243"/>
      <c r="Z277" s="244"/>
      <c r="AA277" s="234"/>
      <c r="AC277" s="1031"/>
    </row>
    <row r="278" spans="1:29" ht="14.45" customHeight="1">
      <c r="A278" s="224"/>
      <c r="B278" s="225"/>
      <c r="C278" s="226"/>
      <c r="D278" s="521"/>
      <c r="E278" s="521"/>
      <c r="F278" s="248" t="s">
        <v>1337</v>
      </c>
      <c r="G278" s="252">
        <v>350000</v>
      </c>
      <c r="H278" s="240" t="s">
        <v>1175</v>
      </c>
      <c r="I278" s="242">
        <v>12</v>
      </c>
      <c r="J278" s="240"/>
      <c r="K278" s="256"/>
      <c r="L278" s="243"/>
      <c r="M278" s="244" t="s">
        <v>281</v>
      </c>
      <c r="N278" s="1570">
        <f>G278*I278</f>
        <v>4200000</v>
      </c>
      <c r="O278" s="235"/>
      <c r="P278" s="997"/>
      <c r="Q278" s="997"/>
      <c r="R278" s="246"/>
      <c r="T278" s="252"/>
      <c r="U278" s="240"/>
      <c r="V278" s="242"/>
      <c r="W278" s="240"/>
      <c r="X278" s="256"/>
      <c r="Y278" s="243"/>
      <c r="Z278" s="244"/>
      <c r="AA278" s="1570"/>
      <c r="AC278" s="1031"/>
    </row>
    <row r="279" spans="1:29" ht="14.45" customHeight="1">
      <c r="A279" s="224"/>
      <c r="B279" s="225"/>
      <c r="C279" s="226"/>
      <c r="D279" s="521"/>
      <c r="E279" s="521"/>
      <c r="F279" s="248" t="s">
        <v>1237</v>
      </c>
      <c r="G279" s="252">
        <v>50000</v>
      </c>
      <c r="H279" s="240" t="s">
        <v>277</v>
      </c>
      <c r="I279" s="256">
        <v>12</v>
      </c>
      <c r="J279" s="240"/>
      <c r="K279" s="256"/>
      <c r="L279" s="243"/>
      <c r="M279" s="244" t="s">
        <v>283</v>
      </c>
      <c r="N279" s="1570">
        <f>G279*I279</f>
        <v>600000</v>
      </c>
      <c r="O279" s="235"/>
      <c r="P279" s="997"/>
      <c r="Q279" s="997"/>
      <c r="R279" s="246"/>
      <c r="T279" s="252"/>
      <c r="U279" s="240"/>
      <c r="V279" s="256"/>
      <c r="W279" s="240"/>
      <c r="X279" s="256"/>
      <c r="Y279" s="243"/>
      <c r="Z279" s="244"/>
      <c r="AA279" s="1570"/>
      <c r="AC279" s="1031"/>
    </row>
    <row r="280" spans="1:29" ht="14.45" customHeight="1">
      <c r="A280" s="224"/>
      <c r="B280" s="225"/>
      <c r="C280" s="226"/>
      <c r="D280" s="521"/>
      <c r="E280" s="521"/>
      <c r="F280" s="231" t="s">
        <v>1345</v>
      </c>
      <c r="G280" s="252"/>
      <c r="H280" s="240"/>
      <c r="I280" s="256"/>
      <c r="J280" s="240"/>
      <c r="K280" s="256"/>
      <c r="L280" s="243"/>
      <c r="M280" s="244"/>
      <c r="N280" s="234">
        <f>SUM(N281:N282)</f>
        <v>4440000</v>
      </c>
      <c r="O280" s="235"/>
      <c r="P280" s="997"/>
      <c r="Q280" s="997"/>
      <c r="R280" s="246"/>
      <c r="T280" s="252"/>
      <c r="U280" s="240"/>
      <c r="V280" s="256"/>
      <c r="W280" s="240"/>
      <c r="X280" s="256"/>
      <c r="Y280" s="243"/>
      <c r="Z280" s="244"/>
      <c r="AA280" s="234"/>
      <c r="AC280" s="1031"/>
    </row>
    <row r="281" spans="1:29" ht="14.45" customHeight="1">
      <c r="A281" s="224"/>
      <c r="B281" s="225"/>
      <c r="C281" s="226"/>
      <c r="D281" s="521"/>
      <c r="E281" s="521"/>
      <c r="F281" s="248" t="s">
        <v>949</v>
      </c>
      <c r="G281" s="252">
        <v>320000</v>
      </c>
      <c r="H281" s="240" t="s">
        <v>1175</v>
      </c>
      <c r="I281" s="242">
        <v>12</v>
      </c>
      <c r="J281" s="240"/>
      <c r="K281" s="256"/>
      <c r="L281" s="243"/>
      <c r="M281" s="244" t="s">
        <v>1346</v>
      </c>
      <c r="N281" s="1570">
        <f>G281*I281</f>
        <v>3840000</v>
      </c>
      <c r="O281" s="235"/>
      <c r="P281" s="997"/>
      <c r="Q281" s="997"/>
      <c r="R281" s="246"/>
      <c r="T281" s="252"/>
      <c r="U281" s="240"/>
      <c r="V281" s="242"/>
      <c r="W281" s="240"/>
      <c r="X281" s="256"/>
      <c r="Y281" s="243"/>
      <c r="Z281" s="244"/>
      <c r="AA281" s="1570"/>
      <c r="AC281" s="1031"/>
    </row>
    <row r="282" spans="1:29" ht="14.45" customHeight="1">
      <c r="A282" s="224"/>
      <c r="B282" s="225"/>
      <c r="C282" s="226"/>
      <c r="D282" s="521"/>
      <c r="E282" s="521"/>
      <c r="F282" s="248" t="s">
        <v>1239</v>
      </c>
      <c r="G282" s="252">
        <v>50000</v>
      </c>
      <c r="H282" s="240" t="s">
        <v>1175</v>
      </c>
      <c r="I282" s="256">
        <v>12</v>
      </c>
      <c r="J282" s="240"/>
      <c r="K282" s="256"/>
      <c r="L282" s="243"/>
      <c r="M282" s="244" t="s">
        <v>281</v>
      </c>
      <c r="N282" s="1570">
        <f>G282*I282</f>
        <v>600000</v>
      </c>
      <c r="O282" s="235"/>
      <c r="P282" s="997"/>
      <c r="Q282" s="997"/>
      <c r="R282" s="246"/>
      <c r="T282" s="252"/>
      <c r="U282" s="240"/>
      <c r="V282" s="256"/>
      <c r="W282" s="240"/>
      <c r="X282" s="256"/>
      <c r="Y282" s="243"/>
      <c r="Z282" s="244"/>
      <c r="AA282" s="1570"/>
      <c r="AC282" s="1031"/>
    </row>
    <row r="283" spans="1:29" ht="14.45" customHeight="1">
      <c r="A283" s="224"/>
      <c r="B283" s="225"/>
      <c r="C283" s="226"/>
      <c r="D283" s="521"/>
      <c r="E283" s="2009" t="s">
        <v>1347</v>
      </c>
      <c r="F283" s="2010"/>
      <c r="G283" s="228"/>
      <c r="H283" s="66"/>
      <c r="I283" s="66"/>
      <c r="J283" s="66"/>
      <c r="K283" s="66"/>
      <c r="L283" s="229"/>
      <c r="M283" s="230"/>
      <c r="N283" s="1672"/>
      <c r="O283" s="171">
        <f>ROUNDUP((N284+N288+N292+N294+N299+N304+N318+N323+N327+N331+N336+N341+N346+N353+N356+N359+N361+N364+N369+N373+N378+N397+N401+N405+N407+N415+N420),-3)</f>
        <v>296510000</v>
      </c>
      <c r="P283" s="1668">
        <v>0</v>
      </c>
      <c r="Q283" s="1668">
        <f>+O283-P283</f>
        <v>296510000</v>
      </c>
      <c r="R283" s="1669">
        <v>1</v>
      </c>
    </row>
    <row r="284" spans="1:29" ht="14.45" customHeight="1">
      <c r="A284" s="224"/>
      <c r="B284" s="225"/>
      <c r="C284" s="226"/>
      <c r="D284" s="521"/>
      <c r="E284" s="521"/>
      <c r="F284" s="498" t="s">
        <v>2205</v>
      </c>
      <c r="G284" s="252"/>
      <c r="H284" s="240"/>
      <c r="I284" s="256"/>
      <c r="J284" s="240"/>
      <c r="K284" s="256"/>
      <c r="L284" s="243"/>
      <c r="M284" s="244"/>
      <c r="N284" s="234">
        <f>SUM(N285:N287)</f>
        <v>1440000</v>
      </c>
      <c r="O284" s="235"/>
      <c r="P284" s="997"/>
      <c r="Q284" s="997"/>
      <c r="R284" s="246"/>
    </row>
    <row r="285" spans="1:29" ht="14.45" customHeight="1">
      <c r="A285" s="224"/>
      <c r="B285" s="225"/>
      <c r="C285" s="226"/>
      <c r="D285" s="521"/>
      <c r="E285" s="521"/>
      <c r="F285" s="248" t="s">
        <v>1348</v>
      </c>
      <c r="G285" s="252">
        <v>15000</v>
      </c>
      <c r="H285" s="240" t="s">
        <v>2206</v>
      </c>
      <c r="I285" s="242">
        <v>12</v>
      </c>
      <c r="J285" s="240" t="s">
        <v>2207</v>
      </c>
      <c r="K285" s="241">
        <v>2</v>
      </c>
      <c r="L285" s="243"/>
      <c r="M285" s="244" t="s">
        <v>2208</v>
      </c>
      <c r="N285" s="1570">
        <f>G285*I285*K285</f>
        <v>360000</v>
      </c>
      <c r="O285" s="235"/>
      <c r="P285" s="997"/>
      <c r="Q285" s="997"/>
      <c r="R285" s="246"/>
    </row>
    <row r="286" spans="1:29" ht="14.45" customHeight="1">
      <c r="A286" s="224"/>
      <c r="B286" s="225"/>
      <c r="C286" s="226"/>
      <c r="D286" s="521"/>
      <c r="E286" s="521"/>
      <c r="F286" s="248" t="s">
        <v>2209</v>
      </c>
      <c r="G286" s="252">
        <v>30000</v>
      </c>
      <c r="H286" s="240" t="s">
        <v>2210</v>
      </c>
      <c r="I286" s="242">
        <v>12</v>
      </c>
      <c r="J286" s="240" t="s">
        <v>2210</v>
      </c>
      <c r="K286" s="241">
        <v>2</v>
      </c>
      <c r="L286" s="243"/>
      <c r="M286" s="244" t="s">
        <v>2196</v>
      </c>
      <c r="N286" s="1570">
        <f>G286*I286*K286</f>
        <v>720000</v>
      </c>
      <c r="O286" s="235"/>
      <c r="P286" s="997"/>
      <c r="Q286" s="997"/>
      <c r="R286" s="246"/>
    </row>
    <row r="287" spans="1:29" ht="14.45" customHeight="1">
      <c r="A287" s="224"/>
      <c r="B287" s="225"/>
      <c r="C287" s="226"/>
      <c r="D287" s="521"/>
      <c r="E287" s="521"/>
      <c r="F287" s="248" t="s">
        <v>2211</v>
      </c>
      <c r="G287" s="252">
        <v>30000</v>
      </c>
      <c r="H287" s="240" t="s">
        <v>2210</v>
      </c>
      <c r="I287" s="256">
        <v>12</v>
      </c>
      <c r="J287" s="240"/>
      <c r="K287" s="256"/>
      <c r="L287" s="243"/>
      <c r="M287" s="244" t="s">
        <v>274</v>
      </c>
      <c r="N287" s="1570">
        <f>G287*I287</f>
        <v>360000</v>
      </c>
      <c r="O287" s="235"/>
      <c r="P287" s="997"/>
      <c r="Q287" s="997"/>
      <c r="R287" s="246"/>
    </row>
    <row r="288" spans="1:29" ht="14.45" customHeight="1">
      <c r="A288" s="224"/>
      <c r="B288" s="225"/>
      <c r="C288" s="226"/>
      <c r="D288" s="521"/>
      <c r="E288" s="521"/>
      <c r="F288" s="574" t="s">
        <v>2212</v>
      </c>
      <c r="G288" s="252"/>
      <c r="H288" s="240"/>
      <c r="I288" s="241"/>
      <c r="J288" s="240"/>
      <c r="K288" s="256"/>
      <c r="L288" s="243"/>
      <c r="M288" s="244"/>
      <c r="N288" s="234">
        <f>SUM(N289:N291)</f>
        <v>1320000</v>
      </c>
      <c r="O288" s="235"/>
      <c r="P288" s="997"/>
      <c r="Q288" s="997"/>
      <c r="R288" s="246"/>
      <c r="T288" s="275"/>
    </row>
    <row r="289" spans="1:18" ht="14.45" customHeight="1">
      <c r="A289" s="224"/>
      <c r="B289" s="225"/>
      <c r="C289" s="226"/>
      <c r="D289" s="521"/>
      <c r="E289" s="521"/>
      <c r="F289" s="998" t="s">
        <v>1349</v>
      </c>
      <c r="G289" s="252">
        <v>320000</v>
      </c>
      <c r="H289" s="240" t="s">
        <v>2207</v>
      </c>
      <c r="I289" s="256">
        <v>1</v>
      </c>
      <c r="J289" s="240"/>
      <c r="K289" s="256"/>
      <c r="L289" s="243"/>
      <c r="M289" s="244" t="s">
        <v>2197</v>
      </c>
      <c r="N289" s="1570">
        <f>G289*I289</f>
        <v>320000</v>
      </c>
      <c r="O289" s="235"/>
      <c r="P289" s="997"/>
      <c r="Q289" s="997"/>
      <c r="R289" s="246"/>
    </row>
    <row r="290" spans="1:18" ht="14.45" customHeight="1">
      <c r="A290" s="224"/>
      <c r="B290" s="225"/>
      <c r="C290" s="226"/>
      <c r="D290" s="521"/>
      <c r="E290" s="521"/>
      <c r="F290" s="998" t="s">
        <v>2213</v>
      </c>
      <c r="G290" s="252">
        <v>150000</v>
      </c>
      <c r="H290" s="240" t="s">
        <v>2190</v>
      </c>
      <c r="I290" s="241">
        <v>4</v>
      </c>
      <c r="J290" s="240"/>
      <c r="K290" s="256"/>
      <c r="L290" s="243"/>
      <c r="M290" s="244" t="s">
        <v>2197</v>
      </c>
      <c r="N290" s="1570">
        <f>G290*I290</f>
        <v>600000</v>
      </c>
      <c r="O290" s="235"/>
      <c r="P290" s="997"/>
      <c r="Q290" s="997"/>
      <c r="R290" s="246"/>
    </row>
    <row r="291" spans="1:18" ht="14.45" customHeight="1">
      <c r="A291" s="224"/>
      <c r="B291" s="225"/>
      <c r="C291" s="226"/>
      <c r="D291" s="521"/>
      <c r="E291" s="521"/>
      <c r="F291" s="998" t="s">
        <v>2834</v>
      </c>
      <c r="G291" s="252">
        <v>400000</v>
      </c>
      <c r="H291" s="240" t="s">
        <v>2207</v>
      </c>
      <c r="I291" s="256">
        <v>1</v>
      </c>
      <c r="J291" s="240"/>
      <c r="K291" s="256"/>
      <c r="L291" s="243"/>
      <c r="M291" s="244" t="s">
        <v>274</v>
      </c>
      <c r="N291" s="1570">
        <f>G291*I291</f>
        <v>400000</v>
      </c>
      <c r="O291" s="235"/>
      <c r="P291" s="997"/>
      <c r="Q291" s="997"/>
      <c r="R291" s="246"/>
    </row>
    <row r="292" spans="1:18" ht="14.45" customHeight="1">
      <c r="A292" s="224"/>
      <c r="B292" s="225"/>
      <c r="C292" s="226"/>
      <c r="D292" s="521"/>
      <c r="E292" s="521"/>
      <c r="F292" s="1673" t="s">
        <v>2214</v>
      </c>
      <c r="G292" s="252"/>
      <c r="H292" s="240"/>
      <c r="I292" s="241"/>
      <c r="J292" s="240"/>
      <c r="K292" s="256"/>
      <c r="L292" s="243"/>
      <c r="M292" s="244"/>
      <c r="N292" s="234">
        <f>SUM(N293:N293)</f>
        <v>2000000</v>
      </c>
      <c r="O292" s="235"/>
      <c r="P292" s="997"/>
      <c r="Q292" s="997"/>
      <c r="R292" s="246"/>
    </row>
    <row r="293" spans="1:18" ht="14.45" customHeight="1">
      <c r="A293" s="224"/>
      <c r="B293" s="225"/>
      <c r="C293" s="226"/>
      <c r="D293" s="521"/>
      <c r="E293" s="521"/>
      <c r="F293" s="237" t="s">
        <v>1350</v>
      </c>
      <c r="G293" s="252">
        <v>2000000</v>
      </c>
      <c r="H293" s="240" t="s">
        <v>273</v>
      </c>
      <c r="I293" s="265">
        <v>1</v>
      </c>
      <c r="J293" s="240"/>
      <c r="K293" s="256"/>
      <c r="L293" s="243"/>
      <c r="M293" s="244" t="s">
        <v>274</v>
      </c>
      <c r="N293" s="1570">
        <f>G293*I293</f>
        <v>2000000</v>
      </c>
      <c r="O293" s="235"/>
      <c r="P293" s="997"/>
      <c r="Q293" s="997"/>
      <c r="R293" s="246"/>
    </row>
    <row r="294" spans="1:18" ht="14.45" customHeight="1">
      <c r="A294" s="224"/>
      <c r="B294" s="225"/>
      <c r="C294" s="226"/>
      <c r="D294" s="521"/>
      <c r="E294" s="521"/>
      <c r="F294" s="1673" t="s">
        <v>2215</v>
      </c>
      <c r="G294" s="252"/>
      <c r="H294" s="240"/>
      <c r="I294" s="241"/>
      <c r="J294" s="240"/>
      <c r="K294" s="256"/>
      <c r="L294" s="243"/>
      <c r="M294" s="244"/>
      <c r="N294" s="234">
        <f>SUM(N295:N298)</f>
        <v>4000000</v>
      </c>
      <c r="O294" s="235"/>
      <c r="P294" s="997"/>
      <c r="Q294" s="997"/>
      <c r="R294" s="246"/>
    </row>
    <row r="295" spans="1:18" ht="14.45" customHeight="1">
      <c r="A295" s="224"/>
      <c r="B295" s="225"/>
      <c r="C295" s="226"/>
      <c r="D295" s="521"/>
      <c r="E295" s="521"/>
      <c r="F295" s="237" t="s">
        <v>2216</v>
      </c>
      <c r="G295" s="249">
        <v>200000</v>
      </c>
      <c r="H295" s="240" t="s">
        <v>2207</v>
      </c>
      <c r="I295" s="256">
        <v>4</v>
      </c>
      <c r="J295" s="240"/>
      <c r="K295" s="240"/>
      <c r="L295" s="243"/>
      <c r="M295" s="244" t="s">
        <v>2208</v>
      </c>
      <c r="N295" s="1570">
        <f>G295*I295</f>
        <v>800000</v>
      </c>
      <c r="O295" s="235"/>
      <c r="P295" s="997"/>
      <c r="Q295" s="997"/>
      <c r="R295" s="246"/>
    </row>
    <row r="296" spans="1:18" ht="14.45" customHeight="1">
      <c r="A296" s="224"/>
      <c r="B296" s="225"/>
      <c r="C296" s="226"/>
      <c r="D296" s="521"/>
      <c r="E296" s="521"/>
      <c r="F296" s="237" t="s">
        <v>2217</v>
      </c>
      <c r="G296" s="249">
        <v>2000</v>
      </c>
      <c r="H296" s="240" t="s">
        <v>273</v>
      </c>
      <c r="I296" s="241">
        <v>300</v>
      </c>
      <c r="J296" s="240" t="s">
        <v>2190</v>
      </c>
      <c r="K296" s="256">
        <v>4</v>
      </c>
      <c r="L296" s="243"/>
      <c r="M296" s="244" t="s">
        <v>2197</v>
      </c>
      <c r="N296" s="1570">
        <f>G296*I296*K296</f>
        <v>2400000</v>
      </c>
      <c r="O296" s="235"/>
      <c r="P296" s="997"/>
      <c r="Q296" s="997"/>
      <c r="R296" s="246"/>
    </row>
    <row r="297" spans="1:18" ht="14.45" customHeight="1">
      <c r="A297" s="224"/>
      <c r="B297" s="225"/>
      <c r="C297" s="226"/>
      <c r="D297" s="521"/>
      <c r="E297" s="521"/>
      <c r="F297" s="237" t="s">
        <v>1351</v>
      </c>
      <c r="G297" s="249">
        <v>5000</v>
      </c>
      <c r="H297" s="240" t="s">
        <v>273</v>
      </c>
      <c r="I297" s="241">
        <v>10</v>
      </c>
      <c r="J297" s="240" t="s">
        <v>2207</v>
      </c>
      <c r="K297" s="256">
        <v>4</v>
      </c>
      <c r="L297" s="243"/>
      <c r="M297" s="244" t="s">
        <v>2196</v>
      </c>
      <c r="N297" s="1570">
        <f t="shared" ref="N297:N298" si="6">G297*I297*K297</f>
        <v>200000</v>
      </c>
      <c r="O297" s="235"/>
      <c r="P297" s="997"/>
      <c r="Q297" s="997"/>
      <c r="R297" s="246"/>
    </row>
    <row r="298" spans="1:18" ht="14.45" customHeight="1">
      <c r="A298" s="224"/>
      <c r="B298" s="225"/>
      <c r="C298" s="226"/>
      <c r="D298" s="521"/>
      <c r="E298" s="521"/>
      <c r="F298" s="237" t="s">
        <v>2218</v>
      </c>
      <c r="G298" s="249">
        <v>500</v>
      </c>
      <c r="H298" s="240" t="s">
        <v>2207</v>
      </c>
      <c r="I298" s="1674">
        <v>300</v>
      </c>
      <c r="J298" s="240" t="s">
        <v>2190</v>
      </c>
      <c r="K298" s="256">
        <v>4</v>
      </c>
      <c r="L298" s="243"/>
      <c r="M298" s="244" t="s">
        <v>2208</v>
      </c>
      <c r="N298" s="1570">
        <f t="shared" si="6"/>
        <v>600000</v>
      </c>
      <c r="O298" s="235"/>
      <c r="P298" s="997"/>
      <c r="Q298" s="997"/>
      <c r="R298" s="246"/>
    </row>
    <row r="299" spans="1:18" ht="14.45" customHeight="1">
      <c r="A299" s="224"/>
      <c r="B299" s="225"/>
      <c r="C299" s="226"/>
      <c r="D299" s="521"/>
      <c r="E299" s="521"/>
      <c r="F299" s="574" t="s">
        <v>1352</v>
      </c>
      <c r="G299" s="252"/>
      <c r="H299" s="240"/>
      <c r="I299" s="241"/>
      <c r="J299" s="240"/>
      <c r="K299" s="256"/>
      <c r="L299" s="243"/>
      <c r="M299" s="244"/>
      <c r="N299" s="234">
        <f>SUM(N300:N303)</f>
        <v>1000000</v>
      </c>
      <c r="O299" s="235"/>
      <c r="P299" s="997"/>
      <c r="Q299" s="997"/>
      <c r="R299" s="246"/>
    </row>
    <row r="300" spans="1:18" ht="14.45" customHeight="1">
      <c r="A300" s="224"/>
      <c r="B300" s="225"/>
      <c r="C300" s="226"/>
      <c r="D300" s="521"/>
      <c r="E300" s="521"/>
      <c r="F300" s="998" t="s">
        <v>2775</v>
      </c>
      <c r="G300" s="252">
        <v>50000</v>
      </c>
      <c r="H300" s="240" t="s">
        <v>273</v>
      </c>
      <c r="I300" s="265">
        <v>7</v>
      </c>
      <c r="J300" s="240"/>
      <c r="K300" s="256"/>
      <c r="L300" s="243"/>
      <c r="M300" s="244" t="s">
        <v>2208</v>
      </c>
      <c r="N300" s="1570">
        <f>G300*I300</f>
        <v>350000</v>
      </c>
      <c r="O300" s="235"/>
      <c r="P300" s="997"/>
      <c r="Q300" s="997"/>
      <c r="R300" s="246"/>
    </row>
    <row r="301" spans="1:18" ht="14.45" customHeight="1">
      <c r="A301" s="224"/>
      <c r="B301" s="225"/>
      <c r="C301" s="226"/>
      <c r="D301" s="521"/>
      <c r="E301" s="521"/>
      <c r="F301" s="998" t="s">
        <v>2776</v>
      </c>
      <c r="G301" s="252">
        <v>50000</v>
      </c>
      <c r="H301" s="240" t="s">
        <v>273</v>
      </c>
      <c r="I301" s="265">
        <v>7</v>
      </c>
      <c r="J301" s="240"/>
      <c r="K301" s="256"/>
      <c r="L301" s="243"/>
      <c r="M301" s="244" t="s">
        <v>1520</v>
      </c>
      <c r="N301" s="1570">
        <f>G301*I301</f>
        <v>350000</v>
      </c>
      <c r="O301" s="235"/>
      <c r="P301" s="997"/>
      <c r="Q301" s="997"/>
      <c r="R301" s="246"/>
    </row>
    <row r="302" spans="1:18" ht="14.45" customHeight="1">
      <c r="A302" s="224"/>
      <c r="B302" s="225"/>
      <c r="C302" s="226"/>
      <c r="D302" s="521"/>
      <c r="E302" s="521"/>
      <c r="F302" s="998" t="s">
        <v>2777</v>
      </c>
      <c r="G302" s="252">
        <v>40000</v>
      </c>
      <c r="H302" s="240" t="s">
        <v>273</v>
      </c>
      <c r="I302" s="265">
        <v>7</v>
      </c>
      <c r="J302" s="240"/>
      <c r="K302" s="256"/>
      <c r="L302" s="243"/>
      <c r="M302" s="244" t="s">
        <v>1520</v>
      </c>
      <c r="N302" s="1570">
        <f>G302*I302</f>
        <v>280000</v>
      </c>
      <c r="O302" s="235"/>
      <c r="P302" s="997"/>
      <c r="Q302" s="997"/>
      <c r="R302" s="246"/>
    </row>
    <row r="303" spans="1:18" ht="14.45" customHeight="1">
      <c r="A303" s="224"/>
      <c r="B303" s="225"/>
      <c r="C303" s="226"/>
      <c r="D303" s="521"/>
      <c r="E303" s="521"/>
      <c r="F303" s="998" t="s">
        <v>2778</v>
      </c>
      <c r="G303" s="252">
        <v>20000</v>
      </c>
      <c r="H303" s="240" t="s">
        <v>273</v>
      </c>
      <c r="I303" s="265">
        <v>1</v>
      </c>
      <c r="J303" s="240"/>
      <c r="K303" s="256"/>
      <c r="L303" s="243"/>
      <c r="M303" s="244" t="s">
        <v>1520</v>
      </c>
      <c r="N303" s="1570">
        <f>G303*I303</f>
        <v>20000</v>
      </c>
      <c r="O303" s="235"/>
      <c r="P303" s="997"/>
      <c r="Q303" s="997"/>
      <c r="R303" s="246"/>
    </row>
    <row r="304" spans="1:18" ht="14.45" customHeight="1">
      <c r="A304" s="224"/>
      <c r="B304" s="225"/>
      <c r="C304" s="226"/>
      <c r="D304" s="521"/>
      <c r="E304" s="521"/>
      <c r="F304" s="574" t="s">
        <v>2219</v>
      </c>
      <c r="G304" s="252"/>
      <c r="H304" s="240"/>
      <c r="I304" s="241"/>
      <c r="J304" s="240"/>
      <c r="K304" s="256"/>
      <c r="L304" s="243"/>
      <c r="M304" s="244"/>
      <c r="N304" s="234">
        <f>SUM(N305:N317)</f>
        <v>5000000</v>
      </c>
      <c r="O304" s="235"/>
      <c r="P304" s="997"/>
      <c r="Q304" s="997"/>
      <c r="R304" s="246"/>
    </row>
    <row r="305" spans="1:18" ht="14.45" customHeight="1">
      <c r="A305" s="224"/>
      <c r="B305" s="225"/>
      <c r="C305" s="226"/>
      <c r="D305" s="521"/>
      <c r="E305" s="521"/>
      <c r="F305" s="998" t="s">
        <v>2779</v>
      </c>
      <c r="G305" s="252">
        <v>8000</v>
      </c>
      <c r="H305" s="240" t="s">
        <v>273</v>
      </c>
      <c r="I305" s="241">
        <v>40</v>
      </c>
      <c r="J305" s="240" t="s">
        <v>273</v>
      </c>
      <c r="K305" s="1122">
        <v>2</v>
      </c>
      <c r="L305" s="243"/>
      <c r="M305" s="244" t="s">
        <v>1520</v>
      </c>
      <c r="N305" s="1570">
        <f>G305*I305*K305</f>
        <v>640000</v>
      </c>
      <c r="O305" s="235"/>
      <c r="P305" s="997"/>
      <c r="Q305" s="997"/>
      <c r="R305" s="246"/>
    </row>
    <row r="306" spans="1:18" ht="14.45" customHeight="1">
      <c r="A306" s="224"/>
      <c r="B306" s="225"/>
      <c r="C306" s="226"/>
      <c r="D306" s="521"/>
      <c r="E306" s="521"/>
      <c r="F306" s="998" t="s">
        <v>2780</v>
      </c>
      <c r="G306" s="252">
        <v>10000</v>
      </c>
      <c r="H306" s="240" t="s">
        <v>273</v>
      </c>
      <c r="I306" s="241">
        <v>5</v>
      </c>
      <c r="J306" s="240" t="s">
        <v>273</v>
      </c>
      <c r="K306" s="1122">
        <v>2</v>
      </c>
      <c r="L306" s="243"/>
      <c r="M306" s="244" t="s">
        <v>1520</v>
      </c>
      <c r="N306" s="1570">
        <f t="shared" ref="N306:N314" si="7">G306*I306*K306</f>
        <v>100000</v>
      </c>
      <c r="O306" s="235"/>
      <c r="P306" s="997"/>
      <c r="Q306" s="997"/>
      <c r="R306" s="246"/>
    </row>
    <row r="307" spans="1:18" ht="14.45" customHeight="1">
      <c r="A307" s="224"/>
      <c r="B307" s="225"/>
      <c r="C307" s="226"/>
      <c r="D307" s="521"/>
      <c r="E307" s="521"/>
      <c r="F307" s="998" t="s">
        <v>2781</v>
      </c>
      <c r="G307" s="252">
        <v>6000</v>
      </c>
      <c r="H307" s="240" t="s">
        <v>273</v>
      </c>
      <c r="I307" s="241">
        <v>45</v>
      </c>
      <c r="J307" s="240" t="s">
        <v>273</v>
      </c>
      <c r="K307" s="256">
        <v>5</v>
      </c>
      <c r="L307" s="243"/>
      <c r="M307" s="244" t="s">
        <v>1520</v>
      </c>
      <c r="N307" s="1570">
        <f t="shared" si="7"/>
        <v>1350000</v>
      </c>
      <c r="O307" s="235"/>
      <c r="P307" s="997"/>
      <c r="Q307" s="997"/>
      <c r="R307" s="246"/>
    </row>
    <row r="308" spans="1:18" ht="14.45" customHeight="1">
      <c r="A308" s="224"/>
      <c r="B308" s="225"/>
      <c r="C308" s="226"/>
      <c r="D308" s="521"/>
      <c r="E308" s="521"/>
      <c r="F308" s="998" t="s">
        <v>2782</v>
      </c>
      <c r="G308" s="252">
        <v>3000</v>
      </c>
      <c r="H308" s="240" t="s">
        <v>273</v>
      </c>
      <c r="I308" s="241">
        <v>40</v>
      </c>
      <c r="J308" s="240" t="s">
        <v>273</v>
      </c>
      <c r="K308" s="256">
        <v>1</v>
      </c>
      <c r="L308" s="243"/>
      <c r="M308" s="244" t="s">
        <v>1520</v>
      </c>
      <c r="N308" s="1570">
        <f t="shared" si="7"/>
        <v>120000</v>
      </c>
      <c r="O308" s="235"/>
      <c r="P308" s="997"/>
      <c r="Q308" s="997"/>
      <c r="R308" s="246"/>
    </row>
    <row r="309" spans="1:18" ht="14.45" customHeight="1">
      <c r="A309" s="224"/>
      <c r="B309" s="225"/>
      <c r="C309" s="226"/>
      <c r="D309" s="521"/>
      <c r="E309" s="521"/>
      <c r="F309" s="998" t="s">
        <v>2783</v>
      </c>
      <c r="G309" s="252">
        <v>7000</v>
      </c>
      <c r="H309" s="240" t="s">
        <v>273</v>
      </c>
      <c r="I309" s="241">
        <v>40</v>
      </c>
      <c r="J309" s="240" t="s">
        <v>273</v>
      </c>
      <c r="K309" s="256">
        <v>1</v>
      </c>
      <c r="L309" s="243"/>
      <c r="M309" s="244" t="s">
        <v>1520</v>
      </c>
      <c r="N309" s="1570">
        <f t="shared" si="7"/>
        <v>280000</v>
      </c>
      <c r="O309" s="235"/>
      <c r="P309" s="997"/>
      <c r="Q309" s="997"/>
      <c r="R309" s="246"/>
    </row>
    <row r="310" spans="1:18" ht="14.45" customHeight="1">
      <c r="A310" s="224"/>
      <c r="B310" s="225"/>
      <c r="C310" s="226"/>
      <c r="D310" s="521"/>
      <c r="E310" s="521"/>
      <c r="F310" s="998" t="s">
        <v>2784</v>
      </c>
      <c r="G310" s="252">
        <v>3000</v>
      </c>
      <c r="H310" s="240" t="s">
        <v>273</v>
      </c>
      <c r="I310" s="241">
        <v>45</v>
      </c>
      <c r="J310" s="240" t="s">
        <v>273</v>
      </c>
      <c r="K310" s="256">
        <v>2</v>
      </c>
      <c r="L310" s="243"/>
      <c r="M310" s="244" t="s">
        <v>1520</v>
      </c>
      <c r="N310" s="1570">
        <f t="shared" si="7"/>
        <v>270000</v>
      </c>
      <c r="O310" s="235"/>
      <c r="P310" s="997"/>
      <c r="Q310" s="997"/>
      <c r="R310" s="246"/>
    </row>
    <row r="311" spans="1:18" ht="14.45" customHeight="1">
      <c r="A311" s="224"/>
      <c r="B311" s="225"/>
      <c r="C311" s="226"/>
      <c r="D311" s="521"/>
      <c r="E311" s="521"/>
      <c r="F311" s="998" t="s">
        <v>2785</v>
      </c>
      <c r="G311" s="252">
        <v>2000</v>
      </c>
      <c r="H311" s="240" t="s">
        <v>273</v>
      </c>
      <c r="I311" s="241">
        <v>45</v>
      </c>
      <c r="J311" s="240" t="s">
        <v>273</v>
      </c>
      <c r="K311" s="256">
        <v>1</v>
      </c>
      <c r="L311" s="243"/>
      <c r="M311" s="244" t="s">
        <v>1520</v>
      </c>
      <c r="N311" s="1570">
        <f t="shared" si="7"/>
        <v>90000</v>
      </c>
      <c r="O311" s="235"/>
      <c r="P311" s="997"/>
      <c r="Q311" s="997"/>
      <c r="R311" s="246"/>
    </row>
    <row r="312" spans="1:18" ht="14.45" customHeight="1">
      <c r="A312" s="224"/>
      <c r="B312" s="225"/>
      <c r="C312" s="226"/>
      <c r="D312" s="521"/>
      <c r="E312" s="521"/>
      <c r="F312" s="998" t="s">
        <v>2777</v>
      </c>
      <c r="G312" s="252">
        <v>340000</v>
      </c>
      <c r="H312" s="240" t="s">
        <v>273</v>
      </c>
      <c r="I312" s="256">
        <v>1</v>
      </c>
      <c r="J312" s="240"/>
      <c r="K312" s="256"/>
      <c r="L312" s="243"/>
      <c r="M312" s="244" t="s">
        <v>1520</v>
      </c>
      <c r="N312" s="1570">
        <f>G312*I312</f>
        <v>340000</v>
      </c>
      <c r="O312" s="235"/>
      <c r="P312" s="997"/>
      <c r="Q312" s="997"/>
      <c r="R312" s="246"/>
    </row>
    <row r="313" spans="1:18" ht="14.45" customHeight="1">
      <c r="A313" s="224"/>
      <c r="B313" s="225"/>
      <c r="C313" s="226"/>
      <c r="D313" s="521"/>
      <c r="E313" s="521"/>
      <c r="F313" s="998" t="s">
        <v>2786</v>
      </c>
      <c r="G313" s="252">
        <v>6000</v>
      </c>
      <c r="H313" s="240" t="s">
        <v>273</v>
      </c>
      <c r="I313" s="241">
        <v>40</v>
      </c>
      <c r="J313" s="240" t="s">
        <v>273</v>
      </c>
      <c r="K313" s="256">
        <v>1</v>
      </c>
      <c r="L313" s="243"/>
      <c r="M313" s="244" t="s">
        <v>1520</v>
      </c>
      <c r="N313" s="1570">
        <f t="shared" si="7"/>
        <v>240000</v>
      </c>
      <c r="O313" s="235"/>
      <c r="P313" s="997"/>
      <c r="Q313" s="997"/>
      <c r="R313" s="246"/>
    </row>
    <row r="314" spans="1:18" ht="14.45" customHeight="1">
      <c r="A314" s="224"/>
      <c r="B314" s="225"/>
      <c r="C314" s="226"/>
      <c r="D314" s="521"/>
      <c r="E314" s="521"/>
      <c r="F314" s="998" t="s">
        <v>2787</v>
      </c>
      <c r="G314" s="252">
        <v>6000</v>
      </c>
      <c r="H314" s="240" t="s">
        <v>273</v>
      </c>
      <c r="I314" s="241">
        <v>40</v>
      </c>
      <c r="J314" s="240" t="s">
        <v>273</v>
      </c>
      <c r="K314" s="256">
        <v>1</v>
      </c>
      <c r="L314" s="243"/>
      <c r="M314" s="244" t="s">
        <v>1520</v>
      </c>
      <c r="N314" s="1570">
        <f t="shared" si="7"/>
        <v>240000</v>
      </c>
      <c r="O314" s="235"/>
      <c r="P314" s="997"/>
      <c r="Q314" s="997"/>
      <c r="R314" s="246"/>
    </row>
    <row r="315" spans="1:18" ht="14.45" customHeight="1">
      <c r="A315" s="224"/>
      <c r="B315" s="225"/>
      <c r="C315" s="226"/>
      <c r="D315" s="521"/>
      <c r="E315" s="521"/>
      <c r="F315" s="998" t="s">
        <v>2788</v>
      </c>
      <c r="G315" s="252">
        <v>50000</v>
      </c>
      <c r="H315" s="240" t="s">
        <v>273</v>
      </c>
      <c r="I315" s="256">
        <v>1</v>
      </c>
      <c r="J315" s="240"/>
      <c r="K315" s="256"/>
      <c r="L315" s="243"/>
      <c r="M315" s="244" t="s">
        <v>1520</v>
      </c>
      <c r="N315" s="1570">
        <f>G315*I315</f>
        <v>50000</v>
      </c>
      <c r="O315" s="235"/>
      <c r="P315" s="997"/>
      <c r="Q315" s="997"/>
      <c r="R315" s="246"/>
    </row>
    <row r="316" spans="1:18" ht="14.45" customHeight="1">
      <c r="A316" s="224"/>
      <c r="B316" s="225"/>
      <c r="C316" s="226"/>
      <c r="D316" s="521"/>
      <c r="E316" s="521"/>
      <c r="F316" s="998" t="s">
        <v>2789</v>
      </c>
      <c r="G316" s="252">
        <v>80000</v>
      </c>
      <c r="H316" s="240" t="s">
        <v>273</v>
      </c>
      <c r="I316" s="256">
        <v>1</v>
      </c>
      <c r="J316" s="240"/>
      <c r="K316" s="256"/>
      <c r="L316" s="243"/>
      <c r="M316" s="244" t="s">
        <v>1520</v>
      </c>
      <c r="N316" s="1570">
        <f>G316*I316</f>
        <v>80000</v>
      </c>
      <c r="O316" s="235"/>
      <c r="P316" s="997"/>
      <c r="Q316" s="997"/>
      <c r="R316" s="246"/>
    </row>
    <row r="317" spans="1:18" ht="14.45" customHeight="1">
      <c r="A317" s="224"/>
      <c r="B317" s="225"/>
      <c r="C317" s="226"/>
      <c r="D317" s="521"/>
      <c r="E317" s="521"/>
      <c r="F317" s="998" t="s">
        <v>2790</v>
      </c>
      <c r="G317" s="252">
        <v>15000</v>
      </c>
      <c r="H317" s="240" t="s">
        <v>273</v>
      </c>
      <c r="I317" s="241">
        <v>40</v>
      </c>
      <c r="J317" s="240" t="s">
        <v>273</v>
      </c>
      <c r="K317" s="256">
        <v>2</v>
      </c>
      <c r="L317" s="243"/>
      <c r="M317" s="244" t="s">
        <v>1520</v>
      </c>
      <c r="N317" s="1570">
        <f t="shared" ref="N317" si="8">G317*I317*K317</f>
        <v>1200000</v>
      </c>
      <c r="O317" s="235"/>
      <c r="P317" s="997"/>
      <c r="Q317" s="997"/>
      <c r="R317" s="246"/>
    </row>
    <row r="318" spans="1:18" ht="14.45" customHeight="1">
      <c r="A318" s="224"/>
      <c r="B318" s="225"/>
      <c r="C318" s="226"/>
      <c r="D318" s="521"/>
      <c r="E318" s="521"/>
      <c r="F318" s="574" t="s">
        <v>2220</v>
      </c>
      <c r="G318" s="252"/>
      <c r="H318" s="240"/>
      <c r="I318" s="241"/>
      <c r="J318" s="240"/>
      <c r="K318" s="256"/>
      <c r="L318" s="243"/>
      <c r="M318" s="244"/>
      <c r="N318" s="234">
        <f>SUM(N319:N322)</f>
        <v>33000000</v>
      </c>
      <c r="O318" s="235"/>
      <c r="P318" s="997"/>
      <c r="Q318" s="997"/>
      <c r="R318" s="246"/>
    </row>
    <row r="319" spans="1:18" ht="14.45" customHeight="1">
      <c r="A319" s="224"/>
      <c r="B319" s="225"/>
      <c r="C319" s="226"/>
      <c r="D319" s="521"/>
      <c r="E319" s="521"/>
      <c r="F319" s="998" t="s">
        <v>2791</v>
      </c>
      <c r="G319" s="252">
        <v>2000</v>
      </c>
      <c r="H319" s="240" t="s">
        <v>273</v>
      </c>
      <c r="I319" s="241">
        <v>4000</v>
      </c>
      <c r="J319" s="240"/>
      <c r="K319" s="1122"/>
      <c r="L319" s="243"/>
      <c r="M319" s="244" t="s">
        <v>1520</v>
      </c>
      <c r="N319" s="1570">
        <f>G319*I319</f>
        <v>8000000</v>
      </c>
      <c r="O319" s="235"/>
      <c r="P319" s="997"/>
      <c r="Q319" s="997"/>
      <c r="R319" s="246"/>
    </row>
    <row r="320" spans="1:18" ht="14.45" customHeight="1">
      <c r="A320" s="224"/>
      <c r="B320" s="225"/>
      <c r="C320" s="226"/>
      <c r="D320" s="521"/>
      <c r="E320" s="521"/>
      <c r="F320" s="998" t="s">
        <v>2792</v>
      </c>
      <c r="G320" s="252">
        <v>3000</v>
      </c>
      <c r="H320" s="240" t="s">
        <v>273</v>
      </c>
      <c r="I320" s="241">
        <v>3000</v>
      </c>
      <c r="J320" s="240"/>
      <c r="K320" s="1122"/>
      <c r="L320" s="243"/>
      <c r="M320" s="244" t="s">
        <v>1520</v>
      </c>
      <c r="N320" s="1570">
        <f t="shared" ref="N320:N322" si="9">G320*I320</f>
        <v>9000000</v>
      </c>
      <c r="O320" s="235"/>
      <c r="P320" s="997"/>
      <c r="Q320" s="997"/>
      <c r="R320" s="246"/>
    </row>
    <row r="321" spans="1:18" ht="14.45" customHeight="1">
      <c r="A321" s="224"/>
      <c r="B321" s="225"/>
      <c r="C321" s="226"/>
      <c r="D321" s="521"/>
      <c r="E321" s="521"/>
      <c r="F321" s="998" t="s">
        <v>2777</v>
      </c>
      <c r="G321" s="252">
        <v>2500</v>
      </c>
      <c r="H321" s="240" t="s">
        <v>273</v>
      </c>
      <c r="I321" s="241">
        <v>4000</v>
      </c>
      <c r="J321" s="240"/>
      <c r="K321" s="1122"/>
      <c r="L321" s="243"/>
      <c r="M321" s="244" t="s">
        <v>1520</v>
      </c>
      <c r="N321" s="1570">
        <f t="shared" si="9"/>
        <v>10000000</v>
      </c>
      <c r="O321" s="235"/>
      <c r="P321" s="997"/>
      <c r="Q321" s="997"/>
      <c r="R321" s="246"/>
    </row>
    <row r="322" spans="1:18" ht="14.45" customHeight="1">
      <c r="A322" s="224"/>
      <c r="B322" s="225"/>
      <c r="C322" s="226"/>
      <c r="D322" s="521"/>
      <c r="E322" s="521"/>
      <c r="F322" s="998" t="s">
        <v>2793</v>
      </c>
      <c r="G322" s="252">
        <v>1500</v>
      </c>
      <c r="H322" s="240" t="s">
        <v>273</v>
      </c>
      <c r="I322" s="241">
        <v>4000</v>
      </c>
      <c r="J322" s="240"/>
      <c r="K322" s="256"/>
      <c r="L322" s="243"/>
      <c r="M322" s="244" t="s">
        <v>1520</v>
      </c>
      <c r="N322" s="1570">
        <f t="shared" si="9"/>
        <v>6000000</v>
      </c>
      <c r="O322" s="235"/>
      <c r="P322" s="997"/>
      <c r="Q322" s="997"/>
      <c r="R322" s="246"/>
    </row>
    <row r="323" spans="1:18" ht="14.45" customHeight="1">
      <c r="A323" s="224"/>
      <c r="B323" s="225"/>
      <c r="C323" s="226"/>
      <c r="D323" s="521"/>
      <c r="E323" s="521"/>
      <c r="F323" s="574" t="s">
        <v>2221</v>
      </c>
      <c r="G323" s="252"/>
      <c r="H323" s="240"/>
      <c r="I323" s="241"/>
      <c r="J323" s="240"/>
      <c r="K323" s="256"/>
      <c r="L323" s="243"/>
      <c r="M323" s="244"/>
      <c r="N323" s="234">
        <f>SUM(N324:N326)</f>
        <v>2000000</v>
      </c>
      <c r="O323" s="235"/>
      <c r="P323" s="997"/>
      <c r="Q323" s="997"/>
      <c r="R323" s="246"/>
    </row>
    <row r="324" spans="1:18" ht="14.45" customHeight="1">
      <c r="A324" s="224"/>
      <c r="B324" s="225"/>
      <c r="C324" s="226"/>
      <c r="D324" s="521"/>
      <c r="E324" s="521"/>
      <c r="F324" s="998" t="s">
        <v>2216</v>
      </c>
      <c r="G324" s="252">
        <v>40000</v>
      </c>
      <c r="H324" s="240" t="s">
        <v>273</v>
      </c>
      <c r="I324" s="1870">
        <v>10</v>
      </c>
      <c r="J324" s="240"/>
      <c r="K324" s="1122"/>
      <c r="L324" s="243"/>
      <c r="M324" s="244" t="s">
        <v>1520</v>
      </c>
      <c r="N324" s="1570">
        <f>G324*I324</f>
        <v>400000</v>
      </c>
      <c r="O324" s="235"/>
      <c r="P324" s="997"/>
      <c r="Q324" s="997"/>
      <c r="R324" s="246"/>
    </row>
    <row r="325" spans="1:18" ht="14.45" customHeight="1">
      <c r="A325" s="224"/>
      <c r="B325" s="225"/>
      <c r="C325" s="226"/>
      <c r="D325" s="521"/>
      <c r="E325" s="521"/>
      <c r="F325" s="998" t="s">
        <v>2829</v>
      </c>
      <c r="G325" s="252">
        <v>100000</v>
      </c>
      <c r="H325" s="240" t="s">
        <v>273</v>
      </c>
      <c r="I325" s="256">
        <v>8</v>
      </c>
      <c r="J325" s="240"/>
      <c r="K325" s="1122"/>
      <c r="L325" s="243"/>
      <c r="M325" s="244" t="s">
        <v>1520</v>
      </c>
      <c r="N325" s="1570">
        <f>G325*I325</f>
        <v>800000</v>
      </c>
      <c r="O325" s="235"/>
      <c r="P325" s="997"/>
      <c r="Q325" s="997"/>
      <c r="R325" s="246"/>
    </row>
    <row r="326" spans="1:18" ht="14.45" customHeight="1">
      <c r="A326" s="224"/>
      <c r="B326" s="225"/>
      <c r="C326" s="226"/>
      <c r="D326" s="521"/>
      <c r="E326" s="521"/>
      <c r="F326" s="998" t="s">
        <v>2830</v>
      </c>
      <c r="G326" s="252">
        <v>100000</v>
      </c>
      <c r="H326" s="240" t="s">
        <v>273</v>
      </c>
      <c r="I326" s="256">
        <v>8</v>
      </c>
      <c r="J326" s="240"/>
      <c r="K326" s="1122"/>
      <c r="L326" s="243"/>
      <c r="M326" s="244" t="s">
        <v>1520</v>
      </c>
      <c r="N326" s="1570">
        <f t="shared" ref="N326" si="10">G326*I326</f>
        <v>800000</v>
      </c>
      <c r="O326" s="235"/>
      <c r="P326" s="997"/>
      <c r="Q326" s="997"/>
      <c r="R326" s="246"/>
    </row>
    <row r="327" spans="1:18" ht="14.45" customHeight="1">
      <c r="A327" s="224"/>
      <c r="B327" s="225"/>
      <c r="C327" s="226"/>
      <c r="D327" s="521"/>
      <c r="E327" s="521"/>
      <c r="F327" s="574" t="s">
        <v>2222</v>
      </c>
      <c r="G327" s="252"/>
      <c r="H327" s="240"/>
      <c r="I327" s="241"/>
      <c r="J327" s="240"/>
      <c r="K327" s="256"/>
      <c r="L327" s="243"/>
      <c r="M327" s="244"/>
      <c r="N327" s="234">
        <f>SUM(N328:N330)</f>
        <v>6000000</v>
      </c>
      <c r="O327" s="235"/>
      <c r="P327" s="997"/>
      <c r="Q327" s="997"/>
      <c r="R327" s="246"/>
    </row>
    <row r="328" spans="1:18" ht="14.45" customHeight="1">
      <c r="A328" s="224"/>
      <c r="B328" s="225"/>
      <c r="C328" s="226"/>
      <c r="D328" s="521"/>
      <c r="E328" s="521"/>
      <c r="F328" s="998" t="s">
        <v>2831</v>
      </c>
      <c r="G328" s="252">
        <v>100000</v>
      </c>
      <c r="H328" s="240" t="s">
        <v>273</v>
      </c>
      <c r="I328" s="241">
        <v>55</v>
      </c>
      <c r="J328" s="240"/>
      <c r="K328" s="1122"/>
      <c r="L328" s="243"/>
      <c r="M328" s="244" t="s">
        <v>1520</v>
      </c>
      <c r="N328" s="1570">
        <f>G328*I328</f>
        <v>5500000</v>
      </c>
      <c r="O328" s="235"/>
      <c r="P328" s="997"/>
      <c r="Q328" s="997"/>
      <c r="R328" s="246"/>
    </row>
    <row r="329" spans="1:18" ht="14.45" customHeight="1">
      <c r="A329" s="224"/>
      <c r="B329" s="225"/>
      <c r="C329" s="226"/>
      <c r="D329" s="521"/>
      <c r="E329" s="521"/>
      <c r="F329" s="998" t="s">
        <v>2777</v>
      </c>
      <c r="G329" s="252">
        <v>400000</v>
      </c>
      <c r="H329" s="240" t="s">
        <v>273</v>
      </c>
      <c r="I329" s="256">
        <v>1</v>
      </c>
      <c r="J329" s="240"/>
      <c r="K329" s="1122"/>
      <c r="L329" s="243"/>
      <c r="M329" s="244" t="s">
        <v>1520</v>
      </c>
      <c r="N329" s="1570">
        <f>G329*I329</f>
        <v>400000</v>
      </c>
      <c r="O329" s="235"/>
      <c r="P329" s="997"/>
      <c r="Q329" s="997"/>
      <c r="R329" s="246"/>
    </row>
    <row r="330" spans="1:18" ht="14.45" customHeight="1">
      <c r="A330" s="224"/>
      <c r="B330" s="225"/>
      <c r="C330" s="226"/>
      <c r="D330" s="521"/>
      <c r="E330" s="521"/>
      <c r="F330" s="998" t="s">
        <v>2216</v>
      </c>
      <c r="G330" s="252">
        <v>50000</v>
      </c>
      <c r="H330" s="240" t="s">
        <v>273</v>
      </c>
      <c r="I330" s="256">
        <v>2</v>
      </c>
      <c r="J330" s="240"/>
      <c r="K330" s="1122"/>
      <c r="L330" s="243"/>
      <c r="M330" s="244" t="s">
        <v>1520</v>
      </c>
      <c r="N330" s="1570">
        <f t="shared" ref="N330" si="11">G330*I330</f>
        <v>100000</v>
      </c>
      <c r="O330" s="235"/>
      <c r="P330" s="997"/>
      <c r="Q330" s="997"/>
      <c r="R330" s="246"/>
    </row>
    <row r="331" spans="1:18" ht="14.45" customHeight="1">
      <c r="A331" s="224"/>
      <c r="B331" s="225"/>
      <c r="C331" s="226"/>
      <c r="D331" s="521"/>
      <c r="E331" s="521"/>
      <c r="F331" s="574" t="s">
        <v>2223</v>
      </c>
      <c r="G331" s="252"/>
      <c r="H331" s="240"/>
      <c r="I331" s="241"/>
      <c r="J331" s="240"/>
      <c r="K331" s="256"/>
      <c r="L331" s="243"/>
      <c r="M331" s="244"/>
      <c r="N331" s="234">
        <f>SUM(N332:N335)</f>
        <v>1000000</v>
      </c>
      <c r="O331" s="235"/>
      <c r="P331" s="997"/>
      <c r="Q331" s="997"/>
      <c r="R331" s="246"/>
    </row>
    <row r="332" spans="1:18" ht="14.45" customHeight="1">
      <c r="A332" s="224"/>
      <c r="B332" s="225"/>
      <c r="C332" s="226"/>
      <c r="D332" s="521"/>
      <c r="E332" s="521"/>
      <c r="F332" s="998" t="s">
        <v>2775</v>
      </c>
      <c r="G332" s="252">
        <v>40000</v>
      </c>
      <c r="H332" s="240" t="s">
        <v>2207</v>
      </c>
      <c r="I332" s="256">
        <v>5</v>
      </c>
      <c r="J332" s="240"/>
      <c r="K332" s="256"/>
      <c r="L332" s="243"/>
      <c r="M332" s="244" t="s">
        <v>2197</v>
      </c>
      <c r="N332" s="1570">
        <f>G332*I332</f>
        <v>200000</v>
      </c>
      <c r="O332" s="235"/>
      <c r="P332" s="997"/>
      <c r="Q332" s="997"/>
      <c r="R332" s="246"/>
    </row>
    <row r="333" spans="1:18" ht="14.45" customHeight="1">
      <c r="A333" s="224"/>
      <c r="B333" s="225"/>
      <c r="C333" s="226"/>
      <c r="D333" s="521"/>
      <c r="E333" s="521"/>
      <c r="F333" s="998" t="s">
        <v>2782</v>
      </c>
      <c r="G333" s="252">
        <v>30000</v>
      </c>
      <c r="H333" s="240" t="s">
        <v>1639</v>
      </c>
      <c r="I333" s="256">
        <v>5</v>
      </c>
      <c r="J333" s="240"/>
      <c r="K333" s="256"/>
      <c r="L333" s="243"/>
      <c r="M333" s="244" t="s">
        <v>1520</v>
      </c>
      <c r="N333" s="1570">
        <f>G333*I333</f>
        <v>150000</v>
      </c>
      <c r="O333" s="235"/>
      <c r="P333" s="997"/>
      <c r="Q333" s="997"/>
      <c r="R333" s="246"/>
    </row>
    <row r="334" spans="1:18" ht="14.45" customHeight="1">
      <c r="A334" s="224"/>
      <c r="B334" s="225"/>
      <c r="C334" s="226"/>
      <c r="D334" s="521"/>
      <c r="E334" s="521"/>
      <c r="F334" s="998" t="s">
        <v>2794</v>
      </c>
      <c r="G334" s="252">
        <v>80000</v>
      </c>
      <c r="H334" s="240" t="s">
        <v>1639</v>
      </c>
      <c r="I334" s="256">
        <v>5</v>
      </c>
      <c r="J334" s="240"/>
      <c r="K334" s="256"/>
      <c r="L334" s="243"/>
      <c r="M334" s="244" t="s">
        <v>1520</v>
      </c>
      <c r="N334" s="1570">
        <f>G334*I334</f>
        <v>400000</v>
      </c>
      <c r="O334" s="235"/>
      <c r="P334" s="997"/>
      <c r="Q334" s="997"/>
      <c r="R334" s="246"/>
    </row>
    <row r="335" spans="1:18" ht="14.45" customHeight="1">
      <c r="A335" s="224"/>
      <c r="B335" s="225"/>
      <c r="C335" s="226"/>
      <c r="D335" s="521"/>
      <c r="E335" s="521"/>
      <c r="F335" s="998" t="s">
        <v>2777</v>
      </c>
      <c r="G335" s="252">
        <v>1250</v>
      </c>
      <c r="H335" s="240" t="s">
        <v>1639</v>
      </c>
      <c r="I335" s="241">
        <v>200</v>
      </c>
      <c r="J335" s="240"/>
      <c r="K335" s="256"/>
      <c r="L335" s="243"/>
      <c r="M335" s="244" t="s">
        <v>1520</v>
      </c>
      <c r="N335" s="1570">
        <f>G335*I335</f>
        <v>250000</v>
      </c>
      <c r="O335" s="235"/>
      <c r="P335" s="997"/>
      <c r="Q335" s="997"/>
      <c r="R335" s="246"/>
    </row>
    <row r="336" spans="1:18" ht="14.45" customHeight="1">
      <c r="A336" s="224"/>
      <c r="B336" s="225"/>
      <c r="C336" s="226"/>
      <c r="D336" s="521"/>
      <c r="E336" s="521"/>
      <c r="F336" s="574" t="s">
        <v>2224</v>
      </c>
      <c r="G336" s="252"/>
      <c r="H336" s="240"/>
      <c r="I336" s="241"/>
      <c r="J336" s="240"/>
      <c r="K336" s="256"/>
      <c r="L336" s="243"/>
      <c r="M336" s="244"/>
      <c r="N336" s="234">
        <f>SUM(N337:N340)</f>
        <v>10000000</v>
      </c>
      <c r="O336" s="235"/>
      <c r="P336" s="997"/>
      <c r="Q336" s="997"/>
      <c r="R336" s="246"/>
    </row>
    <row r="337" spans="1:18" ht="14.45" customHeight="1">
      <c r="A337" s="224"/>
      <c r="B337" s="225"/>
      <c r="C337" s="226"/>
      <c r="D337" s="521"/>
      <c r="E337" s="521"/>
      <c r="F337" s="998" t="s">
        <v>2782</v>
      </c>
      <c r="G337" s="252">
        <v>2000</v>
      </c>
      <c r="H337" s="240" t="s">
        <v>273</v>
      </c>
      <c r="I337" s="241">
        <v>1000</v>
      </c>
      <c r="J337" s="240"/>
      <c r="K337" s="1122"/>
      <c r="L337" s="243"/>
      <c r="M337" s="244" t="s">
        <v>1520</v>
      </c>
      <c r="N337" s="1570">
        <f>G337*I337</f>
        <v>2000000</v>
      </c>
      <c r="O337" s="235"/>
      <c r="P337" s="997"/>
      <c r="Q337" s="997"/>
      <c r="R337" s="246"/>
    </row>
    <row r="338" spans="1:18" ht="14.45" customHeight="1">
      <c r="A338" s="224"/>
      <c r="B338" s="225"/>
      <c r="C338" s="226"/>
      <c r="D338" s="521"/>
      <c r="E338" s="521"/>
      <c r="F338" s="998" t="s">
        <v>2792</v>
      </c>
      <c r="G338" s="252">
        <v>4000</v>
      </c>
      <c r="H338" s="240" t="s">
        <v>273</v>
      </c>
      <c r="I338" s="241">
        <v>1000</v>
      </c>
      <c r="J338" s="240"/>
      <c r="K338" s="1122"/>
      <c r="L338" s="243"/>
      <c r="M338" s="244" t="s">
        <v>1520</v>
      </c>
      <c r="N338" s="1570">
        <f t="shared" ref="N338:N340" si="12">G338*I338</f>
        <v>4000000</v>
      </c>
      <c r="O338" s="235"/>
      <c r="P338" s="997"/>
      <c r="Q338" s="997"/>
      <c r="R338" s="246"/>
    </row>
    <row r="339" spans="1:18" ht="14.45" customHeight="1">
      <c r="A339" s="224"/>
      <c r="B339" s="225"/>
      <c r="C339" s="226"/>
      <c r="D339" s="521"/>
      <c r="E339" s="521"/>
      <c r="F339" s="998" t="s">
        <v>2777</v>
      </c>
      <c r="G339" s="252">
        <v>2000</v>
      </c>
      <c r="H339" s="240" t="s">
        <v>273</v>
      </c>
      <c r="I339" s="241">
        <v>1000</v>
      </c>
      <c r="J339" s="240"/>
      <c r="K339" s="1122"/>
      <c r="L339" s="243"/>
      <c r="M339" s="244" t="s">
        <v>1520</v>
      </c>
      <c r="N339" s="1570">
        <f t="shared" si="12"/>
        <v>2000000</v>
      </c>
      <c r="O339" s="235"/>
      <c r="P339" s="997"/>
      <c r="Q339" s="997"/>
      <c r="R339" s="246"/>
    </row>
    <row r="340" spans="1:18" ht="14.45" customHeight="1">
      <c r="A340" s="224"/>
      <c r="B340" s="225"/>
      <c r="C340" s="226"/>
      <c r="D340" s="521"/>
      <c r="E340" s="521"/>
      <c r="F340" s="998" t="s">
        <v>2793</v>
      </c>
      <c r="G340" s="252">
        <v>2000</v>
      </c>
      <c r="H340" s="240" t="s">
        <v>273</v>
      </c>
      <c r="I340" s="241">
        <v>1000</v>
      </c>
      <c r="J340" s="240"/>
      <c r="K340" s="256"/>
      <c r="L340" s="243"/>
      <c r="M340" s="244" t="s">
        <v>1520</v>
      </c>
      <c r="N340" s="1570">
        <f t="shared" si="12"/>
        <v>2000000</v>
      </c>
      <c r="O340" s="235"/>
      <c r="P340" s="997"/>
      <c r="Q340" s="997"/>
      <c r="R340" s="246"/>
    </row>
    <row r="341" spans="1:18" ht="14.45" customHeight="1">
      <c r="A341" s="224"/>
      <c r="B341" s="225"/>
      <c r="C341" s="226"/>
      <c r="D341" s="521"/>
      <c r="E341" s="521"/>
      <c r="F341" s="574" t="s">
        <v>2225</v>
      </c>
      <c r="G341" s="252"/>
      <c r="H341" s="240"/>
      <c r="I341" s="241"/>
      <c r="J341" s="240"/>
      <c r="K341" s="256"/>
      <c r="L341" s="243"/>
      <c r="M341" s="244"/>
      <c r="N341" s="234">
        <f>SUM(N342:N345)</f>
        <v>2000000</v>
      </c>
      <c r="O341" s="235"/>
      <c r="P341" s="997"/>
      <c r="Q341" s="997"/>
      <c r="R341" s="246"/>
    </row>
    <row r="342" spans="1:18" ht="14.45" customHeight="1">
      <c r="A342" s="224"/>
      <c r="B342" s="225"/>
      <c r="C342" s="226"/>
      <c r="D342" s="521"/>
      <c r="E342" s="521"/>
      <c r="F342" s="998" t="s">
        <v>2775</v>
      </c>
      <c r="G342" s="252">
        <v>50000</v>
      </c>
      <c r="H342" s="240" t="s">
        <v>1639</v>
      </c>
      <c r="I342" s="256">
        <v>4</v>
      </c>
      <c r="J342" s="240"/>
      <c r="K342" s="256"/>
      <c r="L342" s="243"/>
      <c r="M342" s="244" t="s">
        <v>1520</v>
      </c>
      <c r="N342" s="1570">
        <f>G342*I342</f>
        <v>200000</v>
      </c>
      <c r="O342" s="235"/>
      <c r="P342" s="997"/>
      <c r="Q342" s="997"/>
      <c r="R342" s="246"/>
    </row>
    <row r="343" spans="1:18" ht="14.45" customHeight="1">
      <c r="A343" s="224"/>
      <c r="B343" s="225"/>
      <c r="C343" s="226"/>
      <c r="D343" s="521"/>
      <c r="E343" s="521"/>
      <c r="F343" s="998" t="s">
        <v>2782</v>
      </c>
      <c r="G343" s="252">
        <v>2000</v>
      </c>
      <c r="H343" s="240" t="s">
        <v>1639</v>
      </c>
      <c r="I343" s="241">
        <v>300</v>
      </c>
      <c r="J343" s="240"/>
      <c r="K343" s="256"/>
      <c r="L343" s="243"/>
      <c r="M343" s="244" t="s">
        <v>1520</v>
      </c>
      <c r="N343" s="1570">
        <f>G343*I343</f>
        <v>600000</v>
      </c>
      <c r="O343" s="235"/>
      <c r="P343" s="997"/>
      <c r="Q343" s="997"/>
      <c r="R343" s="246"/>
    </row>
    <row r="344" spans="1:18" ht="14.45" customHeight="1">
      <c r="A344" s="224"/>
      <c r="B344" s="225"/>
      <c r="C344" s="226"/>
      <c r="D344" s="521"/>
      <c r="E344" s="521"/>
      <c r="F344" s="998" t="s">
        <v>2777</v>
      </c>
      <c r="G344" s="252">
        <v>2000</v>
      </c>
      <c r="H344" s="240" t="s">
        <v>1639</v>
      </c>
      <c r="I344" s="241">
        <v>300</v>
      </c>
      <c r="J344" s="240"/>
      <c r="K344" s="256"/>
      <c r="L344" s="243"/>
      <c r="M344" s="244" t="s">
        <v>1520</v>
      </c>
      <c r="N344" s="1570">
        <f>G344*I344</f>
        <v>600000</v>
      </c>
      <c r="O344" s="235"/>
      <c r="P344" s="997"/>
      <c r="Q344" s="997"/>
      <c r="R344" s="246"/>
    </row>
    <row r="345" spans="1:18" ht="14.45" customHeight="1">
      <c r="A345" s="224"/>
      <c r="B345" s="225"/>
      <c r="C345" s="226"/>
      <c r="D345" s="521"/>
      <c r="E345" s="521"/>
      <c r="F345" s="998" t="s">
        <v>2795</v>
      </c>
      <c r="G345" s="252">
        <v>2000</v>
      </c>
      <c r="H345" s="240" t="s">
        <v>1639</v>
      </c>
      <c r="I345" s="241">
        <v>300</v>
      </c>
      <c r="J345" s="240"/>
      <c r="K345" s="256"/>
      <c r="L345" s="243"/>
      <c r="M345" s="244" t="s">
        <v>1520</v>
      </c>
      <c r="N345" s="1570">
        <f>G345*I345</f>
        <v>600000</v>
      </c>
      <c r="O345" s="235"/>
      <c r="P345" s="997"/>
      <c r="Q345" s="997"/>
      <c r="R345" s="246"/>
    </row>
    <row r="346" spans="1:18" ht="14.45" customHeight="1">
      <c r="A346" s="224"/>
      <c r="B346" s="225"/>
      <c r="C346" s="226"/>
      <c r="D346" s="521"/>
      <c r="E346" s="521"/>
      <c r="F346" s="574" t="s">
        <v>2813</v>
      </c>
      <c r="G346" s="252"/>
      <c r="H346" s="240"/>
      <c r="I346" s="241"/>
      <c r="J346" s="240"/>
      <c r="K346" s="256"/>
      <c r="L346" s="243"/>
      <c r="M346" s="244"/>
      <c r="N346" s="234">
        <f>SUM(N347:N352)</f>
        <v>30000000</v>
      </c>
      <c r="O346" s="235"/>
      <c r="P346" s="997"/>
      <c r="Q346" s="997"/>
      <c r="R346" s="246"/>
    </row>
    <row r="347" spans="1:18" ht="14.45" customHeight="1">
      <c r="A347" s="224"/>
      <c r="B347" s="225"/>
      <c r="C347" s="226"/>
      <c r="D347" s="521"/>
      <c r="E347" s="521"/>
      <c r="F347" s="998" t="s">
        <v>2775</v>
      </c>
      <c r="G347" s="252">
        <v>100000</v>
      </c>
      <c r="H347" s="240" t="s">
        <v>1639</v>
      </c>
      <c r="I347" s="256">
        <v>10</v>
      </c>
      <c r="J347" s="240"/>
      <c r="K347" s="256"/>
      <c r="L347" s="243"/>
      <c r="M347" s="244" t="s">
        <v>1520</v>
      </c>
      <c r="N347" s="1570">
        <f t="shared" ref="N347:N352" si="13">G347*I347</f>
        <v>1000000</v>
      </c>
      <c r="O347" s="235"/>
      <c r="P347" s="997"/>
      <c r="Q347" s="997"/>
      <c r="R347" s="246"/>
    </row>
    <row r="348" spans="1:18" ht="14.45" customHeight="1">
      <c r="A348" s="224"/>
      <c r="B348" s="225"/>
      <c r="C348" s="226"/>
      <c r="D348" s="521"/>
      <c r="E348" s="521"/>
      <c r="F348" s="998" t="s">
        <v>2814</v>
      </c>
      <c r="G348" s="252">
        <v>500000</v>
      </c>
      <c r="H348" s="240" t="s">
        <v>1639</v>
      </c>
      <c r="I348" s="256">
        <v>10</v>
      </c>
      <c r="J348" s="240"/>
      <c r="K348" s="256"/>
      <c r="L348" s="243"/>
      <c r="M348" s="244" t="s">
        <v>1520</v>
      </c>
      <c r="N348" s="1570">
        <f t="shared" si="13"/>
        <v>5000000</v>
      </c>
      <c r="O348" s="235"/>
      <c r="P348" s="997"/>
      <c r="Q348" s="997"/>
      <c r="R348" s="246"/>
    </row>
    <row r="349" spans="1:18" ht="14.45" customHeight="1">
      <c r="A349" s="224"/>
      <c r="B349" s="225"/>
      <c r="C349" s="226"/>
      <c r="D349" s="521"/>
      <c r="E349" s="521"/>
      <c r="F349" s="998" t="s">
        <v>2815</v>
      </c>
      <c r="G349" s="252">
        <v>1000000</v>
      </c>
      <c r="H349" s="240" t="s">
        <v>1639</v>
      </c>
      <c r="I349" s="256">
        <v>2</v>
      </c>
      <c r="J349" s="240"/>
      <c r="K349" s="256"/>
      <c r="L349" s="243"/>
      <c r="M349" s="244" t="s">
        <v>1520</v>
      </c>
      <c r="N349" s="1570">
        <f t="shared" si="13"/>
        <v>2000000</v>
      </c>
      <c r="O349" s="235"/>
      <c r="P349" s="997"/>
      <c r="Q349" s="997"/>
      <c r="R349" s="246"/>
    </row>
    <row r="350" spans="1:18" ht="14.45" customHeight="1">
      <c r="A350" s="224"/>
      <c r="B350" s="225"/>
      <c r="C350" s="226"/>
      <c r="D350" s="521"/>
      <c r="E350" s="521"/>
      <c r="F350" s="998" t="s">
        <v>2777</v>
      </c>
      <c r="G350" s="252">
        <v>5000</v>
      </c>
      <c r="H350" s="240" t="s">
        <v>1639</v>
      </c>
      <c r="I350" s="241">
        <v>2000</v>
      </c>
      <c r="J350" s="240"/>
      <c r="K350" s="256"/>
      <c r="L350" s="243"/>
      <c r="M350" s="244" t="s">
        <v>1520</v>
      </c>
      <c r="N350" s="1570">
        <f t="shared" si="13"/>
        <v>10000000</v>
      </c>
      <c r="O350" s="235"/>
      <c r="P350" s="997"/>
      <c r="Q350" s="997"/>
      <c r="R350" s="246"/>
    </row>
    <row r="351" spans="1:18" ht="14.45" customHeight="1">
      <c r="A351" s="224"/>
      <c r="B351" s="225"/>
      <c r="C351" s="226"/>
      <c r="D351" s="521"/>
      <c r="E351" s="521"/>
      <c r="F351" s="998" t="s">
        <v>2816</v>
      </c>
      <c r="G351" s="252">
        <v>5000</v>
      </c>
      <c r="H351" s="240" t="s">
        <v>1639</v>
      </c>
      <c r="I351" s="241">
        <v>2000</v>
      </c>
      <c r="J351" s="240"/>
      <c r="K351" s="256"/>
      <c r="L351" s="243"/>
      <c r="M351" s="244" t="s">
        <v>1520</v>
      </c>
      <c r="N351" s="1570">
        <f t="shared" si="13"/>
        <v>10000000</v>
      </c>
      <c r="O351" s="235"/>
      <c r="P351" s="997"/>
      <c r="Q351" s="997"/>
      <c r="R351" s="246"/>
    </row>
    <row r="352" spans="1:18" ht="14.45" customHeight="1">
      <c r="A352" s="224"/>
      <c r="B352" s="225"/>
      <c r="C352" s="226"/>
      <c r="D352" s="521"/>
      <c r="E352" s="521"/>
      <c r="F352" s="998" t="s">
        <v>2817</v>
      </c>
      <c r="G352" s="252">
        <v>1000</v>
      </c>
      <c r="H352" s="240" t="s">
        <v>1639</v>
      </c>
      <c r="I352" s="241">
        <v>2000</v>
      </c>
      <c r="J352" s="240"/>
      <c r="K352" s="256"/>
      <c r="L352" s="243"/>
      <c r="M352" s="244" t="s">
        <v>1520</v>
      </c>
      <c r="N352" s="1570">
        <f t="shared" si="13"/>
        <v>2000000</v>
      </c>
      <c r="O352" s="235"/>
      <c r="P352" s="997"/>
      <c r="Q352" s="997"/>
      <c r="R352" s="246"/>
    </row>
    <row r="353" spans="1:18" ht="14.45" customHeight="1">
      <c r="A353" s="224"/>
      <c r="B353" s="225"/>
      <c r="C353" s="226"/>
      <c r="D353" s="521"/>
      <c r="E353" s="521"/>
      <c r="F353" s="574" t="s">
        <v>2226</v>
      </c>
      <c r="G353" s="252"/>
      <c r="H353" s="240"/>
      <c r="I353" s="241"/>
      <c r="J353" s="240"/>
      <c r="K353" s="256"/>
      <c r="L353" s="243"/>
      <c r="M353" s="244"/>
      <c r="N353" s="234">
        <f>SUM(N354:N355)</f>
        <v>1000000</v>
      </c>
      <c r="O353" s="235"/>
      <c r="P353" s="997"/>
      <c r="Q353" s="997"/>
      <c r="R353" s="246"/>
    </row>
    <row r="354" spans="1:18" ht="14.45" customHeight="1">
      <c r="A354" s="224"/>
      <c r="B354" s="225"/>
      <c r="C354" s="226"/>
      <c r="D354" s="521"/>
      <c r="E354" s="521"/>
      <c r="F354" s="998" t="s">
        <v>2821</v>
      </c>
      <c r="G354" s="252">
        <v>600000</v>
      </c>
      <c r="H354" s="240" t="s">
        <v>1639</v>
      </c>
      <c r="I354" s="256">
        <v>1</v>
      </c>
      <c r="J354" s="240"/>
      <c r="K354" s="256"/>
      <c r="L354" s="243"/>
      <c r="M354" s="244" t="s">
        <v>1520</v>
      </c>
      <c r="N354" s="1570">
        <f>G354*I354</f>
        <v>600000</v>
      </c>
      <c r="O354" s="235"/>
      <c r="P354" s="997"/>
      <c r="Q354" s="997"/>
      <c r="R354" s="246"/>
    </row>
    <row r="355" spans="1:18" ht="14.45" customHeight="1">
      <c r="A355" s="224"/>
      <c r="B355" s="225"/>
      <c r="C355" s="226"/>
      <c r="D355" s="521"/>
      <c r="E355" s="521"/>
      <c r="F355" s="998" t="s">
        <v>2822</v>
      </c>
      <c r="G355" s="252">
        <v>400000</v>
      </c>
      <c r="H355" s="240" t="s">
        <v>1639</v>
      </c>
      <c r="I355" s="256">
        <v>1</v>
      </c>
      <c r="J355" s="240"/>
      <c r="K355" s="256"/>
      <c r="L355" s="243"/>
      <c r="M355" s="244" t="s">
        <v>1520</v>
      </c>
      <c r="N355" s="1570">
        <f>G355*I355</f>
        <v>400000</v>
      </c>
      <c r="O355" s="235"/>
      <c r="P355" s="997"/>
      <c r="Q355" s="997"/>
      <c r="R355" s="246"/>
    </row>
    <row r="356" spans="1:18" ht="14.45" customHeight="1">
      <c r="A356" s="224"/>
      <c r="B356" s="225"/>
      <c r="C356" s="226"/>
      <c r="D356" s="521"/>
      <c r="E356" s="521"/>
      <c r="F356" s="574" t="s">
        <v>2227</v>
      </c>
      <c r="G356" s="252"/>
      <c r="H356" s="240"/>
      <c r="I356" s="241"/>
      <c r="J356" s="240"/>
      <c r="K356" s="256"/>
      <c r="L356" s="243"/>
      <c r="M356" s="244"/>
      <c r="N356" s="234">
        <f>SUM(N357:N358)</f>
        <v>1000000</v>
      </c>
      <c r="O356" s="235"/>
      <c r="P356" s="997"/>
      <c r="Q356" s="997"/>
      <c r="R356" s="246"/>
    </row>
    <row r="357" spans="1:18" ht="14.45" customHeight="1">
      <c r="A357" s="224"/>
      <c r="B357" s="225"/>
      <c r="C357" s="226"/>
      <c r="D357" s="521"/>
      <c r="E357" s="521"/>
      <c r="F357" s="998" t="s">
        <v>2827</v>
      </c>
      <c r="G357" s="252">
        <v>600000</v>
      </c>
      <c r="H357" s="240" t="s">
        <v>2190</v>
      </c>
      <c r="I357" s="256">
        <v>1</v>
      </c>
      <c r="J357" s="240"/>
      <c r="K357" s="256"/>
      <c r="L357" s="243"/>
      <c r="M357" s="244" t="s">
        <v>2197</v>
      </c>
      <c r="N357" s="1570">
        <f>G357*I357</f>
        <v>600000</v>
      </c>
      <c r="O357" s="235"/>
      <c r="P357" s="997"/>
      <c r="Q357" s="997"/>
      <c r="R357" s="246"/>
    </row>
    <row r="358" spans="1:18" ht="14.45" customHeight="1">
      <c r="A358" s="224"/>
      <c r="B358" s="225"/>
      <c r="C358" s="226"/>
      <c r="D358" s="521"/>
      <c r="E358" s="521"/>
      <c r="F358" s="998" t="s">
        <v>2816</v>
      </c>
      <c r="G358" s="252">
        <v>400000</v>
      </c>
      <c r="H358" s="240" t="s">
        <v>1639</v>
      </c>
      <c r="I358" s="256">
        <v>1</v>
      </c>
      <c r="J358" s="240"/>
      <c r="K358" s="256"/>
      <c r="L358" s="243"/>
      <c r="M358" s="244" t="s">
        <v>1520</v>
      </c>
      <c r="N358" s="1570">
        <f>G358*I358</f>
        <v>400000</v>
      </c>
      <c r="O358" s="235"/>
      <c r="P358" s="997"/>
      <c r="Q358" s="997"/>
      <c r="R358" s="246"/>
    </row>
    <row r="359" spans="1:18" ht="14.45" customHeight="1">
      <c r="A359" s="224"/>
      <c r="B359" s="225"/>
      <c r="C359" s="226"/>
      <c r="D359" s="521"/>
      <c r="E359" s="521"/>
      <c r="F359" s="574" t="s">
        <v>2228</v>
      </c>
      <c r="G359" s="252"/>
      <c r="H359" s="240"/>
      <c r="I359" s="241"/>
      <c r="J359" s="240"/>
      <c r="K359" s="256"/>
      <c r="L359" s="243"/>
      <c r="M359" s="244"/>
      <c r="N359" s="234">
        <f>SUM(N360)</f>
        <v>1200000</v>
      </c>
      <c r="O359" s="235"/>
      <c r="P359" s="997"/>
      <c r="Q359" s="997"/>
      <c r="R359" s="246"/>
    </row>
    <row r="360" spans="1:18" ht="14.45" customHeight="1">
      <c r="A360" s="224"/>
      <c r="B360" s="225"/>
      <c r="C360" s="226"/>
      <c r="D360" s="521"/>
      <c r="E360" s="521"/>
      <c r="F360" s="998" t="s">
        <v>2229</v>
      </c>
      <c r="G360" s="252">
        <v>60000</v>
      </c>
      <c r="H360" s="240" t="s">
        <v>2207</v>
      </c>
      <c r="I360" s="241">
        <v>20</v>
      </c>
      <c r="J360" s="240"/>
      <c r="K360" s="256"/>
      <c r="L360" s="243"/>
      <c r="M360" s="244" t="s">
        <v>2197</v>
      </c>
      <c r="N360" s="1570">
        <f>G360*I360</f>
        <v>1200000</v>
      </c>
      <c r="O360" s="235"/>
      <c r="P360" s="997"/>
      <c r="Q360" s="997"/>
      <c r="R360" s="246"/>
    </row>
    <row r="361" spans="1:18" ht="14.45" customHeight="1">
      <c r="A361" s="224"/>
      <c r="B361" s="225"/>
      <c r="C361" s="226"/>
      <c r="D361" s="521"/>
      <c r="E361" s="521"/>
      <c r="F361" s="574" t="s">
        <v>2230</v>
      </c>
      <c r="G361" s="252"/>
      <c r="H361" s="240"/>
      <c r="I361" s="241"/>
      <c r="J361" s="240"/>
      <c r="K361" s="256"/>
      <c r="L361" s="243"/>
      <c r="M361" s="244"/>
      <c r="N361" s="234">
        <f>SUM(N362:N363)</f>
        <v>1000000</v>
      </c>
      <c r="O361" s="235"/>
      <c r="P361" s="997"/>
      <c r="Q361" s="997"/>
      <c r="R361" s="246"/>
    </row>
    <row r="362" spans="1:18" ht="14.45" customHeight="1">
      <c r="A362" s="224"/>
      <c r="B362" s="225"/>
      <c r="C362" s="226"/>
      <c r="D362" s="521"/>
      <c r="E362" s="521"/>
      <c r="F362" s="998" t="s">
        <v>2835</v>
      </c>
      <c r="G362" s="252">
        <v>30000</v>
      </c>
      <c r="H362" s="240" t="s">
        <v>2207</v>
      </c>
      <c r="I362" s="256">
        <v>25</v>
      </c>
      <c r="J362" s="240"/>
      <c r="K362" s="256"/>
      <c r="L362" s="243"/>
      <c r="M362" s="244" t="s">
        <v>2197</v>
      </c>
      <c r="N362" s="1570">
        <f>G362*I362</f>
        <v>750000</v>
      </c>
      <c r="O362" s="235"/>
      <c r="P362" s="997"/>
      <c r="Q362" s="997"/>
      <c r="R362" s="246"/>
    </row>
    <row r="363" spans="1:18" ht="14.45" customHeight="1">
      <c r="A363" s="224"/>
      <c r="B363" s="225"/>
      <c r="C363" s="226"/>
      <c r="D363" s="521"/>
      <c r="E363" s="521"/>
      <c r="F363" s="998" t="s">
        <v>2775</v>
      </c>
      <c r="G363" s="252">
        <v>62500</v>
      </c>
      <c r="H363" s="240" t="s">
        <v>1639</v>
      </c>
      <c r="I363" s="256">
        <v>4</v>
      </c>
      <c r="J363" s="240"/>
      <c r="K363" s="256"/>
      <c r="L363" s="243"/>
      <c r="M363" s="244" t="s">
        <v>1520</v>
      </c>
      <c r="N363" s="1570">
        <f>G363*I363</f>
        <v>250000</v>
      </c>
      <c r="O363" s="235"/>
      <c r="P363" s="997"/>
      <c r="Q363" s="997"/>
      <c r="R363" s="246"/>
    </row>
    <row r="364" spans="1:18" ht="14.45" customHeight="1">
      <c r="A364" s="224"/>
      <c r="B364" s="225"/>
      <c r="C364" s="226"/>
      <c r="D364" s="521"/>
      <c r="E364" s="521"/>
      <c r="F364" s="574" t="s">
        <v>2231</v>
      </c>
      <c r="G364" s="252"/>
      <c r="H364" s="240"/>
      <c r="I364" s="241"/>
      <c r="J364" s="240"/>
      <c r="K364" s="256"/>
      <c r="L364" s="243"/>
      <c r="M364" s="244"/>
      <c r="N364" s="234">
        <f>SUM(N365:N368)</f>
        <v>5000000</v>
      </c>
      <c r="O364" s="235"/>
      <c r="P364" s="997"/>
      <c r="Q364" s="997"/>
      <c r="R364" s="246"/>
    </row>
    <row r="365" spans="1:18" ht="14.45" customHeight="1">
      <c r="A365" s="224"/>
      <c r="B365" s="225"/>
      <c r="C365" s="226"/>
      <c r="D365" s="521"/>
      <c r="E365" s="521"/>
      <c r="F365" s="998" t="s">
        <v>2775</v>
      </c>
      <c r="G365" s="252">
        <v>200000</v>
      </c>
      <c r="H365" s="240" t="s">
        <v>1639</v>
      </c>
      <c r="I365" s="256">
        <v>1</v>
      </c>
      <c r="J365" s="240"/>
      <c r="K365" s="256"/>
      <c r="L365" s="243"/>
      <c r="M365" s="244" t="s">
        <v>1520</v>
      </c>
      <c r="N365" s="1570">
        <f>G365*I365</f>
        <v>200000</v>
      </c>
      <c r="O365" s="235"/>
      <c r="P365" s="997"/>
      <c r="Q365" s="997"/>
      <c r="R365" s="246"/>
    </row>
    <row r="366" spans="1:18" ht="14.45" customHeight="1">
      <c r="A366" s="224"/>
      <c r="B366" s="225"/>
      <c r="C366" s="226"/>
      <c r="D366" s="521"/>
      <c r="E366" s="521"/>
      <c r="F366" s="998" t="s">
        <v>2777</v>
      </c>
      <c r="G366" s="252">
        <v>2000000</v>
      </c>
      <c r="H366" s="240" t="s">
        <v>1639</v>
      </c>
      <c r="I366" s="256">
        <v>1</v>
      </c>
      <c r="J366" s="240"/>
      <c r="K366" s="256"/>
      <c r="L366" s="243"/>
      <c r="M366" s="244" t="s">
        <v>1520</v>
      </c>
      <c r="N366" s="1570">
        <f>G366*I366</f>
        <v>2000000</v>
      </c>
      <c r="O366" s="235"/>
      <c r="P366" s="997"/>
      <c r="Q366" s="997"/>
      <c r="R366" s="246"/>
    </row>
    <row r="367" spans="1:18" ht="14.45" customHeight="1">
      <c r="A367" s="224"/>
      <c r="B367" s="225"/>
      <c r="C367" s="226"/>
      <c r="D367" s="521"/>
      <c r="E367" s="521"/>
      <c r="F367" s="998" t="s">
        <v>2832</v>
      </c>
      <c r="G367" s="252">
        <v>2000</v>
      </c>
      <c r="H367" s="240" t="s">
        <v>1639</v>
      </c>
      <c r="I367" s="241">
        <v>1000</v>
      </c>
      <c r="J367" s="240"/>
      <c r="K367" s="256"/>
      <c r="L367" s="243"/>
      <c r="M367" s="244" t="s">
        <v>1520</v>
      </c>
      <c r="N367" s="1570">
        <f>G367*I367</f>
        <v>2000000</v>
      </c>
      <c r="O367" s="235"/>
      <c r="P367" s="997"/>
      <c r="Q367" s="997"/>
      <c r="R367" s="246"/>
    </row>
    <row r="368" spans="1:18" ht="14.45" customHeight="1">
      <c r="A368" s="224"/>
      <c r="B368" s="225"/>
      <c r="C368" s="226"/>
      <c r="D368" s="521"/>
      <c r="E368" s="521"/>
      <c r="F368" s="998" t="s">
        <v>2833</v>
      </c>
      <c r="G368" s="252">
        <v>400000</v>
      </c>
      <c r="H368" s="240" t="s">
        <v>1639</v>
      </c>
      <c r="I368" s="256">
        <v>2</v>
      </c>
      <c r="J368" s="240"/>
      <c r="K368" s="256"/>
      <c r="L368" s="243"/>
      <c r="M368" s="244" t="s">
        <v>1520</v>
      </c>
      <c r="N368" s="1570">
        <f>G368*I368</f>
        <v>800000</v>
      </c>
      <c r="O368" s="235"/>
      <c r="P368" s="997"/>
      <c r="Q368" s="997"/>
      <c r="R368" s="246"/>
    </row>
    <row r="369" spans="1:18" ht="14.45" customHeight="1">
      <c r="A369" s="224"/>
      <c r="B369" s="225"/>
      <c r="C369" s="226"/>
      <c r="D369" s="521"/>
      <c r="E369" s="521"/>
      <c r="F369" s="574" t="s">
        <v>2232</v>
      </c>
      <c r="G369" s="252"/>
      <c r="H369" s="240"/>
      <c r="I369" s="241"/>
      <c r="J369" s="240"/>
      <c r="K369" s="256"/>
      <c r="L369" s="243"/>
      <c r="M369" s="244"/>
      <c r="N369" s="234">
        <f>SUM(N370:N372)</f>
        <v>500000</v>
      </c>
      <c r="O369" s="235"/>
      <c r="P369" s="997"/>
      <c r="Q369" s="997"/>
      <c r="R369" s="246"/>
    </row>
    <row r="370" spans="1:18" ht="14.45" customHeight="1">
      <c r="A370" s="224"/>
      <c r="B370" s="225"/>
      <c r="C370" s="226"/>
      <c r="D370" s="521"/>
      <c r="E370" s="521"/>
      <c r="F370" s="998" t="s">
        <v>2777</v>
      </c>
      <c r="G370" s="252">
        <v>200</v>
      </c>
      <c r="H370" s="240" t="s">
        <v>2207</v>
      </c>
      <c r="I370" s="241">
        <v>1000</v>
      </c>
      <c r="J370" s="240"/>
      <c r="K370" s="256"/>
      <c r="L370" s="243"/>
      <c r="M370" s="244" t="s">
        <v>2197</v>
      </c>
      <c r="N370" s="1570">
        <f>G370*I370</f>
        <v>200000</v>
      </c>
      <c r="O370" s="235"/>
      <c r="P370" s="997"/>
      <c r="Q370" s="997"/>
      <c r="R370" s="246"/>
    </row>
    <row r="371" spans="1:18" ht="14.45" customHeight="1">
      <c r="A371" s="224"/>
      <c r="B371" s="225"/>
      <c r="C371" s="226"/>
      <c r="D371" s="521"/>
      <c r="E371" s="521"/>
      <c r="F371" s="998" t="s">
        <v>2832</v>
      </c>
      <c r="G371" s="252">
        <v>200</v>
      </c>
      <c r="H371" s="240" t="s">
        <v>1639</v>
      </c>
      <c r="I371" s="241">
        <v>1000</v>
      </c>
      <c r="J371" s="240"/>
      <c r="K371" s="256"/>
      <c r="L371" s="243"/>
      <c r="M371" s="244" t="s">
        <v>1520</v>
      </c>
      <c r="N371" s="1570">
        <f>G371*I371</f>
        <v>200000</v>
      </c>
      <c r="O371" s="235"/>
      <c r="P371" s="997"/>
      <c r="Q371" s="997"/>
      <c r="R371" s="246"/>
    </row>
    <row r="372" spans="1:18" ht="14.45" customHeight="1">
      <c r="A372" s="224"/>
      <c r="B372" s="225"/>
      <c r="C372" s="226"/>
      <c r="D372" s="521"/>
      <c r="E372" s="521"/>
      <c r="F372" s="998" t="s">
        <v>2775</v>
      </c>
      <c r="G372" s="252">
        <v>50000</v>
      </c>
      <c r="H372" s="240" t="s">
        <v>1639</v>
      </c>
      <c r="I372" s="256">
        <v>2</v>
      </c>
      <c r="J372" s="240"/>
      <c r="K372" s="256"/>
      <c r="L372" s="243"/>
      <c r="M372" s="244" t="s">
        <v>1520</v>
      </c>
      <c r="N372" s="1570">
        <f>G372*I372</f>
        <v>100000</v>
      </c>
      <c r="O372" s="235"/>
      <c r="P372" s="997"/>
      <c r="Q372" s="997"/>
      <c r="R372" s="246"/>
    </row>
    <row r="373" spans="1:18" ht="14.45" customHeight="1">
      <c r="A373" s="224"/>
      <c r="B373" s="225"/>
      <c r="C373" s="226"/>
      <c r="D373" s="521"/>
      <c r="E373" s="521"/>
      <c r="F373" s="574" t="s">
        <v>2233</v>
      </c>
      <c r="G373" s="252"/>
      <c r="H373" s="240"/>
      <c r="I373" s="241"/>
      <c r="J373" s="240"/>
      <c r="K373" s="256"/>
      <c r="L373" s="243"/>
      <c r="M373" s="244"/>
      <c r="N373" s="1675">
        <f>SUM(N374:N377)</f>
        <v>11500000</v>
      </c>
      <c r="O373" s="235"/>
      <c r="P373" s="997"/>
      <c r="Q373" s="997"/>
      <c r="R373" s="246"/>
    </row>
    <row r="374" spans="1:18" ht="14.45" customHeight="1">
      <c r="A374" s="224"/>
      <c r="B374" s="225"/>
      <c r="C374" s="226"/>
      <c r="D374" s="521"/>
      <c r="E374" s="521"/>
      <c r="F374" s="998" t="s">
        <v>2823</v>
      </c>
      <c r="G374" s="252">
        <v>750000</v>
      </c>
      <c r="H374" s="240" t="s">
        <v>1639</v>
      </c>
      <c r="I374" s="256">
        <v>2</v>
      </c>
      <c r="J374" s="240"/>
      <c r="K374" s="256"/>
      <c r="L374" s="243"/>
      <c r="M374" s="244" t="s">
        <v>1520</v>
      </c>
      <c r="N374" s="1570">
        <f>G374*I374</f>
        <v>1500000</v>
      </c>
      <c r="O374" s="235"/>
      <c r="P374" s="997"/>
      <c r="Q374" s="997"/>
      <c r="R374" s="246"/>
    </row>
    <row r="375" spans="1:18" ht="14.45" customHeight="1">
      <c r="A375" s="224"/>
      <c r="B375" s="225"/>
      <c r="C375" s="226"/>
      <c r="D375" s="521"/>
      <c r="E375" s="521"/>
      <c r="F375" s="998" t="s">
        <v>2824</v>
      </c>
      <c r="G375" s="252">
        <v>100000</v>
      </c>
      <c r="H375" s="240" t="s">
        <v>1639</v>
      </c>
      <c r="I375" s="241">
        <v>20</v>
      </c>
      <c r="J375" s="240"/>
      <c r="K375" s="256"/>
      <c r="L375" s="243"/>
      <c r="M375" s="244" t="s">
        <v>1520</v>
      </c>
      <c r="N375" s="1570">
        <f>G375*I375</f>
        <v>2000000</v>
      </c>
      <c r="O375" s="235"/>
      <c r="P375" s="997"/>
      <c r="Q375" s="997"/>
      <c r="R375" s="246"/>
    </row>
    <row r="376" spans="1:18" ht="14.45" customHeight="1">
      <c r="A376" s="224"/>
      <c r="B376" s="225"/>
      <c r="C376" s="226"/>
      <c r="D376" s="521"/>
      <c r="E376" s="521"/>
      <c r="F376" s="998" t="s">
        <v>2825</v>
      </c>
      <c r="G376" s="252">
        <v>3500000</v>
      </c>
      <c r="H376" s="240" t="s">
        <v>1639</v>
      </c>
      <c r="I376" s="256">
        <v>2</v>
      </c>
      <c r="J376" s="240"/>
      <c r="K376" s="256"/>
      <c r="L376" s="243"/>
      <c r="M376" s="244" t="s">
        <v>1520</v>
      </c>
      <c r="N376" s="1570">
        <f>G376*I376</f>
        <v>7000000</v>
      </c>
      <c r="O376" s="235"/>
      <c r="P376" s="997"/>
      <c r="Q376" s="997"/>
      <c r="R376" s="246"/>
    </row>
    <row r="377" spans="1:18" ht="14.45" customHeight="1">
      <c r="A377" s="224"/>
      <c r="B377" s="225"/>
      <c r="C377" s="226"/>
      <c r="D377" s="521"/>
      <c r="E377" s="521"/>
      <c r="F377" s="998" t="s">
        <v>2826</v>
      </c>
      <c r="G377" s="252">
        <v>500000</v>
      </c>
      <c r="H377" s="240" t="s">
        <v>1639</v>
      </c>
      <c r="I377" s="256">
        <v>2</v>
      </c>
      <c r="J377" s="240"/>
      <c r="K377" s="256"/>
      <c r="L377" s="243"/>
      <c r="M377" s="244" t="s">
        <v>1520</v>
      </c>
      <c r="N377" s="1570">
        <f>G377*I377</f>
        <v>1000000</v>
      </c>
      <c r="O377" s="235"/>
      <c r="P377" s="997"/>
      <c r="Q377" s="997"/>
      <c r="R377" s="246"/>
    </row>
    <row r="378" spans="1:18" ht="14.45" customHeight="1">
      <c r="A378" s="224"/>
      <c r="B378" s="225"/>
      <c r="C378" s="226"/>
      <c r="D378" s="521"/>
      <c r="E378" s="521"/>
      <c r="F378" s="574" t="s">
        <v>2234</v>
      </c>
      <c r="G378" s="252"/>
      <c r="H378" s="240"/>
      <c r="I378" s="241"/>
      <c r="J378" s="240"/>
      <c r="K378" s="256"/>
      <c r="L378" s="243"/>
      <c r="M378" s="244"/>
      <c r="N378" s="234">
        <f>SUM(N379:N396)</f>
        <v>116750000</v>
      </c>
      <c r="O378" s="235"/>
      <c r="P378" s="997"/>
      <c r="Q378" s="997"/>
      <c r="R378" s="246"/>
    </row>
    <row r="379" spans="1:18" ht="14.45" customHeight="1">
      <c r="A379" s="224"/>
      <c r="B379" s="225"/>
      <c r="C379" s="226"/>
      <c r="D379" s="521"/>
      <c r="E379" s="521"/>
      <c r="F379" s="998" t="s">
        <v>2796</v>
      </c>
      <c r="G379" s="252">
        <v>4000</v>
      </c>
      <c r="H379" s="240" t="s">
        <v>1639</v>
      </c>
      <c r="I379" s="241">
        <v>2000</v>
      </c>
      <c r="J379" s="240" t="s">
        <v>1639</v>
      </c>
      <c r="K379" s="256">
        <v>3</v>
      </c>
      <c r="L379" s="243"/>
      <c r="M379" s="244" t="s">
        <v>1520</v>
      </c>
      <c r="N379" s="1570">
        <f>G379*I379*K379</f>
        <v>24000000</v>
      </c>
      <c r="O379" s="235"/>
      <c r="P379" s="997"/>
      <c r="Q379" s="997"/>
      <c r="R379" s="246"/>
    </row>
    <row r="380" spans="1:18" ht="14.45" customHeight="1">
      <c r="A380" s="224"/>
      <c r="B380" s="225"/>
      <c r="C380" s="226"/>
      <c r="D380" s="521"/>
      <c r="E380" s="521"/>
      <c r="F380" s="998" t="s">
        <v>2782</v>
      </c>
      <c r="G380" s="252">
        <v>2000</v>
      </c>
      <c r="H380" s="240" t="s">
        <v>1639</v>
      </c>
      <c r="I380" s="241">
        <v>2000</v>
      </c>
      <c r="J380" s="240" t="s">
        <v>1639</v>
      </c>
      <c r="K380" s="256">
        <v>1</v>
      </c>
      <c r="L380" s="243"/>
      <c r="M380" s="244" t="s">
        <v>1520</v>
      </c>
      <c r="N380" s="1570">
        <f>G380*I380*K380</f>
        <v>4000000</v>
      </c>
      <c r="O380" s="235"/>
      <c r="P380" s="997"/>
      <c r="Q380" s="997"/>
      <c r="R380" s="246"/>
    </row>
    <row r="381" spans="1:18" ht="14.45" customHeight="1">
      <c r="A381" s="224"/>
      <c r="B381" s="225"/>
      <c r="C381" s="226"/>
      <c r="D381" s="521"/>
      <c r="E381" s="521"/>
      <c r="F381" s="998" t="s">
        <v>2797</v>
      </c>
      <c r="G381" s="252">
        <v>2000</v>
      </c>
      <c r="H381" s="240" t="s">
        <v>1639</v>
      </c>
      <c r="I381" s="241">
        <v>2000</v>
      </c>
      <c r="J381" s="240"/>
      <c r="K381" s="256"/>
      <c r="L381" s="243"/>
      <c r="M381" s="244" t="s">
        <v>1520</v>
      </c>
      <c r="N381" s="1570">
        <f t="shared" ref="N381:N393" si="14">G381*I381</f>
        <v>4000000</v>
      </c>
      <c r="O381" s="235"/>
      <c r="P381" s="997"/>
      <c r="Q381" s="997"/>
      <c r="R381" s="246"/>
    </row>
    <row r="382" spans="1:18" ht="14.45" customHeight="1">
      <c r="A382" s="224"/>
      <c r="B382" s="225"/>
      <c r="C382" s="226"/>
      <c r="D382" s="521"/>
      <c r="E382" s="521"/>
      <c r="F382" s="998" t="s">
        <v>2798</v>
      </c>
      <c r="G382" s="252">
        <v>600000</v>
      </c>
      <c r="H382" s="240" t="s">
        <v>1639</v>
      </c>
      <c r="I382" s="1552">
        <v>45</v>
      </c>
      <c r="J382" s="240"/>
      <c r="K382" s="256"/>
      <c r="L382" s="243"/>
      <c r="M382" s="244" t="s">
        <v>1520</v>
      </c>
      <c r="N382" s="1570">
        <f t="shared" si="14"/>
        <v>27000000</v>
      </c>
      <c r="O382" s="235"/>
      <c r="P382" s="997"/>
      <c r="Q382" s="997"/>
      <c r="R382" s="246"/>
    </row>
    <row r="383" spans="1:18" ht="14.45" customHeight="1">
      <c r="A383" s="224"/>
      <c r="B383" s="225"/>
      <c r="C383" s="226"/>
      <c r="D383" s="521"/>
      <c r="E383" s="521"/>
      <c r="F383" s="998" t="s">
        <v>2799</v>
      </c>
      <c r="G383" s="252">
        <v>40000</v>
      </c>
      <c r="H383" s="240" t="s">
        <v>1639</v>
      </c>
      <c r="I383" s="1869">
        <v>500</v>
      </c>
      <c r="J383" s="240"/>
      <c r="K383" s="256"/>
      <c r="L383" s="243"/>
      <c r="M383" s="244" t="s">
        <v>1520</v>
      </c>
      <c r="N383" s="1570">
        <f t="shared" si="14"/>
        <v>20000000</v>
      </c>
      <c r="O383" s="235"/>
      <c r="P383" s="997"/>
      <c r="Q383" s="997"/>
      <c r="R383" s="246"/>
    </row>
    <row r="384" spans="1:18" ht="14.45" customHeight="1">
      <c r="A384" s="224"/>
      <c r="B384" s="225"/>
      <c r="C384" s="226"/>
      <c r="D384" s="521"/>
      <c r="E384" s="521"/>
      <c r="F384" s="998" t="s">
        <v>2800</v>
      </c>
      <c r="G384" s="252">
        <v>2000</v>
      </c>
      <c r="H384" s="240" t="s">
        <v>1639</v>
      </c>
      <c r="I384" s="1674">
        <v>2000</v>
      </c>
      <c r="J384" s="240"/>
      <c r="K384" s="256"/>
      <c r="L384" s="243"/>
      <c r="M384" s="244" t="s">
        <v>1520</v>
      </c>
      <c r="N384" s="1570">
        <f t="shared" si="14"/>
        <v>4000000</v>
      </c>
      <c r="O384" s="235"/>
      <c r="P384" s="997"/>
      <c r="Q384" s="997"/>
      <c r="R384" s="246"/>
    </row>
    <row r="385" spans="1:18" ht="14.45" customHeight="1">
      <c r="A385" s="224"/>
      <c r="B385" s="225"/>
      <c r="C385" s="226"/>
      <c r="D385" s="521"/>
      <c r="E385" s="521"/>
      <c r="F385" s="998" t="s">
        <v>2801</v>
      </c>
      <c r="G385" s="252">
        <v>2000</v>
      </c>
      <c r="H385" s="240" t="s">
        <v>1639</v>
      </c>
      <c r="I385" s="1674">
        <v>2000</v>
      </c>
      <c r="J385" s="240"/>
      <c r="K385" s="256"/>
      <c r="L385" s="243"/>
      <c r="M385" s="244" t="s">
        <v>1520</v>
      </c>
      <c r="N385" s="1570">
        <f t="shared" si="14"/>
        <v>4000000</v>
      </c>
      <c r="O385" s="235"/>
      <c r="P385" s="997"/>
      <c r="Q385" s="997"/>
      <c r="R385" s="246"/>
    </row>
    <row r="386" spans="1:18" ht="14.45" customHeight="1">
      <c r="A386" s="224"/>
      <c r="B386" s="225"/>
      <c r="C386" s="226"/>
      <c r="D386" s="521"/>
      <c r="E386" s="521"/>
      <c r="F386" s="998" t="s">
        <v>2802</v>
      </c>
      <c r="G386" s="252">
        <v>40000</v>
      </c>
      <c r="H386" s="240" t="s">
        <v>1639</v>
      </c>
      <c r="I386" s="1674">
        <v>40</v>
      </c>
      <c r="J386" s="240"/>
      <c r="K386" s="256"/>
      <c r="L386" s="243"/>
      <c r="M386" s="244" t="s">
        <v>1520</v>
      </c>
      <c r="N386" s="1570">
        <f t="shared" si="14"/>
        <v>1600000</v>
      </c>
      <c r="O386" s="235"/>
      <c r="P386" s="997"/>
      <c r="Q386" s="997"/>
      <c r="R386" s="246"/>
    </row>
    <row r="387" spans="1:18" ht="14.45" customHeight="1">
      <c r="A387" s="224"/>
      <c r="B387" s="225"/>
      <c r="C387" s="226"/>
      <c r="D387" s="521"/>
      <c r="E387" s="521"/>
      <c r="F387" s="998" t="s">
        <v>2803</v>
      </c>
      <c r="G387" s="252">
        <v>150000</v>
      </c>
      <c r="H387" s="240" t="s">
        <v>1639</v>
      </c>
      <c r="I387" s="1674">
        <v>20</v>
      </c>
      <c r="J387" s="240"/>
      <c r="K387" s="256"/>
      <c r="L387" s="243"/>
      <c r="M387" s="244" t="s">
        <v>1520</v>
      </c>
      <c r="N387" s="1570">
        <f t="shared" si="14"/>
        <v>3000000</v>
      </c>
      <c r="O387" s="235"/>
      <c r="P387" s="997"/>
      <c r="Q387" s="997"/>
      <c r="R387" s="246"/>
    </row>
    <row r="388" spans="1:18" ht="14.45" customHeight="1">
      <c r="A388" s="224"/>
      <c r="B388" s="225"/>
      <c r="C388" s="226"/>
      <c r="D388" s="521"/>
      <c r="E388" s="521"/>
      <c r="F388" s="998" t="s">
        <v>2804</v>
      </c>
      <c r="G388" s="252">
        <v>150000</v>
      </c>
      <c r="H388" s="240" t="s">
        <v>1639</v>
      </c>
      <c r="I388" s="1674">
        <v>20</v>
      </c>
      <c r="J388" s="240"/>
      <c r="K388" s="256"/>
      <c r="L388" s="243"/>
      <c r="M388" s="244" t="s">
        <v>1520</v>
      </c>
      <c r="N388" s="1570">
        <f t="shared" si="14"/>
        <v>3000000</v>
      </c>
      <c r="O388" s="235"/>
      <c r="P388" s="997"/>
      <c r="Q388" s="997"/>
      <c r="R388" s="246"/>
    </row>
    <row r="389" spans="1:18" ht="14.45" customHeight="1">
      <c r="A389" s="224"/>
      <c r="B389" s="225"/>
      <c r="C389" s="226"/>
      <c r="D389" s="521"/>
      <c r="E389" s="521"/>
      <c r="F389" s="998" t="s">
        <v>2805</v>
      </c>
      <c r="G389" s="252">
        <v>30000</v>
      </c>
      <c r="H389" s="240" t="s">
        <v>1639</v>
      </c>
      <c r="I389" s="1674">
        <v>40</v>
      </c>
      <c r="J389" s="240"/>
      <c r="K389" s="256"/>
      <c r="L389" s="243"/>
      <c r="M389" s="244" t="s">
        <v>1520</v>
      </c>
      <c r="N389" s="1570">
        <f t="shared" si="14"/>
        <v>1200000</v>
      </c>
      <c r="O389" s="235"/>
      <c r="P389" s="997"/>
      <c r="Q389" s="997"/>
      <c r="R389" s="246"/>
    </row>
    <row r="390" spans="1:18" ht="14.45" customHeight="1">
      <c r="A390" s="224"/>
      <c r="B390" s="225"/>
      <c r="C390" s="226"/>
      <c r="D390" s="521"/>
      <c r="E390" s="521"/>
      <c r="F390" s="998" t="s">
        <v>2806</v>
      </c>
      <c r="G390" s="252">
        <v>100000</v>
      </c>
      <c r="H390" s="240" t="s">
        <v>1639</v>
      </c>
      <c r="I390" s="256">
        <v>25</v>
      </c>
      <c r="J390" s="240"/>
      <c r="K390" s="256"/>
      <c r="L390" s="243"/>
      <c r="M390" s="244" t="s">
        <v>1520</v>
      </c>
      <c r="N390" s="1570">
        <f t="shared" si="14"/>
        <v>2500000</v>
      </c>
      <c r="O390" s="235"/>
      <c r="P390" s="997"/>
      <c r="Q390" s="997"/>
      <c r="R390" s="246"/>
    </row>
    <row r="391" spans="1:18" ht="14.45" customHeight="1">
      <c r="A391" s="224"/>
      <c r="B391" s="225"/>
      <c r="C391" s="226"/>
      <c r="D391" s="521"/>
      <c r="E391" s="521"/>
      <c r="F391" s="998" t="s">
        <v>2807</v>
      </c>
      <c r="G391" s="252">
        <v>100000</v>
      </c>
      <c r="H391" s="240" t="s">
        <v>1639</v>
      </c>
      <c r="I391" s="256">
        <v>10</v>
      </c>
      <c r="J391" s="240"/>
      <c r="K391" s="256"/>
      <c r="L391" s="243"/>
      <c r="M391" s="244" t="s">
        <v>1520</v>
      </c>
      <c r="N391" s="1570">
        <f t="shared" si="14"/>
        <v>1000000</v>
      </c>
      <c r="O391" s="235"/>
      <c r="P391" s="997"/>
      <c r="Q391" s="997"/>
      <c r="R391" s="246"/>
    </row>
    <row r="392" spans="1:18" ht="14.45" customHeight="1">
      <c r="A392" s="224"/>
      <c r="B392" s="225"/>
      <c r="C392" s="226"/>
      <c r="D392" s="521"/>
      <c r="E392" s="521"/>
      <c r="F392" s="998" t="s">
        <v>2808</v>
      </c>
      <c r="G392" s="252">
        <v>100000</v>
      </c>
      <c r="H392" s="240" t="s">
        <v>1639</v>
      </c>
      <c r="I392" s="256">
        <v>25</v>
      </c>
      <c r="J392" s="240"/>
      <c r="K392" s="256"/>
      <c r="L392" s="243"/>
      <c r="M392" s="244" t="s">
        <v>1520</v>
      </c>
      <c r="N392" s="1570">
        <f t="shared" si="14"/>
        <v>2500000</v>
      </c>
      <c r="O392" s="235"/>
      <c r="P392" s="997"/>
      <c r="Q392" s="997"/>
      <c r="R392" s="246"/>
    </row>
    <row r="393" spans="1:18" ht="14.45" customHeight="1">
      <c r="A393" s="224"/>
      <c r="B393" s="225"/>
      <c r="C393" s="226"/>
      <c r="D393" s="521"/>
      <c r="E393" s="521"/>
      <c r="F393" s="998" t="s">
        <v>2809</v>
      </c>
      <c r="G393" s="252">
        <v>45000</v>
      </c>
      <c r="H393" s="240" t="s">
        <v>1639</v>
      </c>
      <c r="I393" s="256">
        <v>10</v>
      </c>
      <c r="J393" s="240"/>
      <c r="K393" s="256"/>
      <c r="L393" s="243"/>
      <c r="M393" s="244" t="s">
        <v>1520</v>
      </c>
      <c r="N393" s="1570">
        <f t="shared" si="14"/>
        <v>450000</v>
      </c>
      <c r="O393" s="235"/>
      <c r="P393" s="997"/>
      <c r="Q393" s="997"/>
      <c r="R393" s="246"/>
    </row>
    <row r="394" spans="1:18" ht="14.45" customHeight="1">
      <c r="A394" s="224"/>
      <c r="B394" s="225"/>
      <c r="C394" s="226"/>
      <c r="D394" s="521"/>
      <c r="E394" s="521"/>
      <c r="F394" s="998" t="s">
        <v>2810</v>
      </c>
      <c r="G394" s="252">
        <v>8000</v>
      </c>
      <c r="H394" s="240" t="s">
        <v>1639</v>
      </c>
      <c r="I394" s="241">
        <v>5</v>
      </c>
      <c r="J394" s="240" t="s">
        <v>1639</v>
      </c>
      <c r="K394" s="256">
        <v>25</v>
      </c>
      <c r="L394" s="243"/>
      <c r="M394" s="244" t="s">
        <v>1520</v>
      </c>
      <c r="N394" s="1570">
        <f>G394*I394*K394</f>
        <v>1000000</v>
      </c>
      <c r="O394" s="235"/>
      <c r="P394" s="997"/>
      <c r="Q394" s="997"/>
      <c r="R394" s="246"/>
    </row>
    <row r="395" spans="1:18" ht="14.45" customHeight="1">
      <c r="A395" s="224"/>
      <c r="B395" s="225"/>
      <c r="C395" s="226"/>
      <c r="D395" s="521"/>
      <c r="E395" s="521"/>
      <c r="F395" s="998" t="s">
        <v>2811</v>
      </c>
      <c r="G395" s="252">
        <v>50000</v>
      </c>
      <c r="H395" s="240" t="s">
        <v>1639</v>
      </c>
      <c r="I395" s="241">
        <v>6</v>
      </c>
      <c r="J395" s="240" t="s">
        <v>1639</v>
      </c>
      <c r="K395" s="256">
        <v>25</v>
      </c>
      <c r="L395" s="243"/>
      <c r="M395" s="244" t="s">
        <v>1520</v>
      </c>
      <c r="N395" s="1570">
        <f t="shared" ref="N395:N396" si="15">G395*I395*K395</f>
        <v>7500000</v>
      </c>
      <c r="O395" s="235"/>
      <c r="P395" s="997"/>
      <c r="Q395" s="997"/>
      <c r="R395" s="246"/>
    </row>
    <row r="396" spans="1:18" ht="14.45" customHeight="1">
      <c r="A396" s="224"/>
      <c r="B396" s="225"/>
      <c r="C396" s="226"/>
      <c r="D396" s="521"/>
      <c r="E396" s="521"/>
      <c r="F396" s="998" t="s">
        <v>2812</v>
      </c>
      <c r="G396" s="252">
        <v>20000</v>
      </c>
      <c r="H396" s="240" t="s">
        <v>2207</v>
      </c>
      <c r="I396" s="241">
        <v>6</v>
      </c>
      <c r="J396" s="240" t="s">
        <v>1639</v>
      </c>
      <c r="K396" s="1122">
        <v>50</v>
      </c>
      <c r="L396" s="243"/>
      <c r="M396" s="244" t="s">
        <v>2197</v>
      </c>
      <c r="N396" s="1570">
        <f t="shared" si="15"/>
        <v>6000000</v>
      </c>
      <c r="O396" s="235"/>
      <c r="P396" s="997"/>
      <c r="Q396" s="997"/>
      <c r="R396" s="246"/>
    </row>
    <row r="397" spans="1:18" ht="14.45" customHeight="1">
      <c r="A397" s="224"/>
      <c r="B397" s="225"/>
      <c r="C397" s="226"/>
      <c r="D397" s="521"/>
      <c r="E397" s="521"/>
      <c r="F397" s="574" t="s">
        <v>2235</v>
      </c>
      <c r="G397" s="252"/>
      <c r="H397" s="240"/>
      <c r="I397" s="241"/>
      <c r="J397" s="240"/>
      <c r="K397" s="256"/>
      <c r="L397" s="243"/>
      <c r="M397" s="244"/>
      <c r="N397" s="234">
        <f>SUM(N398:N400)</f>
        <v>6000000</v>
      </c>
      <c r="O397" s="235"/>
      <c r="P397" s="997"/>
      <c r="Q397" s="997"/>
      <c r="R397" s="246"/>
    </row>
    <row r="398" spans="1:18" ht="14.45" customHeight="1">
      <c r="A398" s="224"/>
      <c r="B398" s="225"/>
      <c r="C398" s="226"/>
      <c r="D398" s="521"/>
      <c r="E398" s="521"/>
      <c r="F398" s="998" t="s">
        <v>2775</v>
      </c>
      <c r="G398" s="252">
        <v>200000</v>
      </c>
      <c r="H398" s="240" t="s">
        <v>1639</v>
      </c>
      <c r="I398" s="256">
        <v>2</v>
      </c>
      <c r="J398" s="240"/>
      <c r="K398" s="256"/>
      <c r="L398" s="243"/>
      <c r="M398" s="244" t="s">
        <v>1520</v>
      </c>
      <c r="N398" s="1570">
        <f>G398*I398</f>
        <v>400000</v>
      </c>
      <c r="O398" s="235"/>
      <c r="P398" s="997"/>
      <c r="Q398" s="997"/>
      <c r="R398" s="246"/>
    </row>
    <row r="399" spans="1:18" ht="14.45" customHeight="1">
      <c r="A399" s="224"/>
      <c r="B399" s="225"/>
      <c r="C399" s="226"/>
      <c r="D399" s="521"/>
      <c r="E399" s="521"/>
      <c r="F399" s="998" t="s">
        <v>2816</v>
      </c>
      <c r="G399" s="252">
        <v>2000000</v>
      </c>
      <c r="H399" s="240" t="s">
        <v>1639</v>
      </c>
      <c r="I399" s="256">
        <v>2</v>
      </c>
      <c r="J399" s="240"/>
      <c r="K399" s="256"/>
      <c r="L399" s="243"/>
      <c r="M399" s="244" t="s">
        <v>1520</v>
      </c>
      <c r="N399" s="1570">
        <f>G399*I399</f>
        <v>4000000</v>
      </c>
      <c r="O399" s="235"/>
      <c r="P399" s="997"/>
      <c r="Q399" s="997"/>
      <c r="R399" s="246"/>
    </row>
    <row r="400" spans="1:18" ht="14.45" customHeight="1">
      <c r="A400" s="224"/>
      <c r="B400" s="225"/>
      <c r="C400" s="226"/>
      <c r="D400" s="521"/>
      <c r="E400" s="521"/>
      <c r="F400" s="998" t="s">
        <v>2820</v>
      </c>
      <c r="G400" s="252">
        <v>800000</v>
      </c>
      <c r="H400" s="240" t="s">
        <v>1639</v>
      </c>
      <c r="I400" s="256">
        <v>2</v>
      </c>
      <c r="J400" s="240"/>
      <c r="K400" s="256"/>
      <c r="L400" s="243"/>
      <c r="M400" s="244" t="s">
        <v>1520</v>
      </c>
      <c r="N400" s="1570">
        <f>G400*I400</f>
        <v>1600000</v>
      </c>
      <c r="O400" s="235"/>
      <c r="P400" s="997"/>
      <c r="Q400" s="997"/>
      <c r="R400" s="246"/>
    </row>
    <row r="401" spans="1:18" ht="14.45" customHeight="1">
      <c r="A401" s="224"/>
      <c r="B401" s="225"/>
      <c r="C401" s="226"/>
      <c r="D401" s="521"/>
      <c r="E401" s="521"/>
      <c r="F401" s="574" t="s">
        <v>2236</v>
      </c>
      <c r="G401" s="252"/>
      <c r="H401" s="240"/>
      <c r="I401" s="241"/>
      <c r="J401" s="240"/>
      <c r="K401" s="256"/>
      <c r="L401" s="243"/>
      <c r="M401" s="244"/>
      <c r="N401" s="234">
        <f>SUM(N402:N404)</f>
        <v>800000</v>
      </c>
      <c r="O401" s="235"/>
      <c r="P401" s="997"/>
      <c r="Q401" s="997"/>
      <c r="R401" s="246"/>
    </row>
    <row r="402" spans="1:18" ht="14.45" customHeight="1">
      <c r="A402" s="224"/>
      <c r="B402" s="225"/>
      <c r="C402" s="226"/>
      <c r="D402" s="521"/>
      <c r="E402" s="521"/>
      <c r="F402" s="998" t="s">
        <v>2777</v>
      </c>
      <c r="G402" s="252">
        <v>187500</v>
      </c>
      <c r="H402" s="240" t="s">
        <v>2207</v>
      </c>
      <c r="I402" s="256">
        <v>2</v>
      </c>
      <c r="J402" s="240"/>
      <c r="K402" s="256"/>
      <c r="L402" s="243"/>
      <c r="M402" s="244" t="s">
        <v>2197</v>
      </c>
      <c r="N402" s="1570">
        <f>G402*I402</f>
        <v>375000</v>
      </c>
      <c r="O402" s="235"/>
      <c r="P402" s="997"/>
      <c r="Q402" s="997"/>
      <c r="R402" s="246"/>
    </row>
    <row r="403" spans="1:18" ht="14.45" customHeight="1">
      <c r="A403" s="224"/>
      <c r="B403" s="225"/>
      <c r="C403" s="226"/>
      <c r="D403" s="521"/>
      <c r="E403" s="521"/>
      <c r="F403" s="998" t="s">
        <v>2836</v>
      </c>
      <c r="G403" s="252">
        <v>187500</v>
      </c>
      <c r="H403" s="240" t="s">
        <v>1639</v>
      </c>
      <c r="I403" s="256">
        <v>2</v>
      </c>
      <c r="J403" s="240"/>
      <c r="K403" s="256"/>
      <c r="L403" s="243"/>
      <c r="M403" s="244" t="s">
        <v>1520</v>
      </c>
      <c r="N403" s="1570">
        <f>G403*I403</f>
        <v>375000</v>
      </c>
      <c r="O403" s="235"/>
      <c r="P403" s="997"/>
      <c r="Q403" s="997"/>
      <c r="R403" s="246"/>
    </row>
    <row r="404" spans="1:18" ht="14.45" customHeight="1">
      <c r="A404" s="224"/>
      <c r="B404" s="225"/>
      <c r="C404" s="226"/>
      <c r="D404" s="521"/>
      <c r="E404" s="521"/>
      <c r="F404" s="998" t="s">
        <v>2775</v>
      </c>
      <c r="G404" s="252">
        <v>50000</v>
      </c>
      <c r="H404" s="240" t="s">
        <v>1639</v>
      </c>
      <c r="I404" s="256">
        <v>1</v>
      </c>
      <c r="J404" s="240"/>
      <c r="K404" s="256"/>
      <c r="L404" s="243"/>
      <c r="M404" s="244" t="s">
        <v>1520</v>
      </c>
      <c r="N404" s="1570">
        <f>G404*I404</f>
        <v>50000</v>
      </c>
      <c r="O404" s="235"/>
      <c r="P404" s="997"/>
      <c r="Q404" s="997"/>
      <c r="R404" s="246"/>
    </row>
    <row r="405" spans="1:18" ht="14.45" customHeight="1">
      <c r="A405" s="224"/>
      <c r="B405" s="225"/>
      <c r="C405" s="226"/>
      <c r="D405" s="521"/>
      <c r="E405" s="521"/>
      <c r="F405" s="574" t="s">
        <v>2237</v>
      </c>
      <c r="G405" s="252"/>
      <c r="H405" s="240"/>
      <c r="I405" s="241"/>
      <c r="J405" s="240"/>
      <c r="K405" s="256"/>
      <c r="L405" s="243"/>
      <c r="M405" s="244"/>
      <c r="N405" s="234">
        <f>SUM(N406:N406)</f>
        <v>1000000</v>
      </c>
      <c r="O405" s="235"/>
      <c r="P405" s="997"/>
      <c r="Q405" s="997"/>
      <c r="R405" s="246"/>
    </row>
    <row r="406" spans="1:18" ht="14.45" customHeight="1">
      <c r="A406" s="224"/>
      <c r="B406" s="225"/>
      <c r="C406" s="226"/>
      <c r="D406" s="521"/>
      <c r="E406" s="521"/>
      <c r="F406" s="998" t="s">
        <v>2828</v>
      </c>
      <c r="G406" s="252">
        <v>200000</v>
      </c>
      <c r="H406" s="240" t="s">
        <v>2207</v>
      </c>
      <c r="I406" s="256">
        <v>5</v>
      </c>
      <c r="J406" s="240"/>
      <c r="K406" s="256"/>
      <c r="L406" s="243"/>
      <c r="M406" s="244" t="s">
        <v>2197</v>
      </c>
      <c r="N406" s="1570">
        <f>G406*I406</f>
        <v>1000000</v>
      </c>
      <c r="O406" s="235"/>
      <c r="P406" s="997"/>
      <c r="Q406" s="997"/>
      <c r="R406" s="246"/>
    </row>
    <row r="407" spans="1:18" ht="14.45" customHeight="1">
      <c r="A407" s="224"/>
      <c r="B407" s="225"/>
      <c r="C407" s="226"/>
      <c r="D407" s="521"/>
      <c r="E407" s="521"/>
      <c r="F407" s="574" t="s">
        <v>2321</v>
      </c>
      <c r="G407" s="252"/>
      <c r="H407" s="240"/>
      <c r="I407" s="241"/>
      <c r="J407" s="240"/>
      <c r="K407" s="256"/>
      <c r="L407" s="243"/>
      <c r="M407" s="244"/>
      <c r="N407" s="234">
        <f>SUM(N408:N414)</f>
        <v>30000000</v>
      </c>
      <c r="O407" s="235"/>
      <c r="P407" s="997"/>
      <c r="Q407" s="997"/>
      <c r="R407" s="246"/>
    </row>
    <row r="408" spans="1:18" ht="14.45" customHeight="1">
      <c r="A408" s="224"/>
      <c r="B408" s="225"/>
      <c r="C408" s="226"/>
      <c r="D408" s="521"/>
      <c r="E408" s="521"/>
      <c r="F408" s="998" t="s">
        <v>2775</v>
      </c>
      <c r="G408" s="252">
        <v>500000</v>
      </c>
      <c r="H408" s="240" t="s">
        <v>1639</v>
      </c>
      <c r="I408" s="256">
        <v>2</v>
      </c>
      <c r="J408" s="240"/>
      <c r="K408" s="256"/>
      <c r="L408" s="243"/>
      <c r="M408" s="244" t="s">
        <v>1520</v>
      </c>
      <c r="N408" s="1570">
        <f t="shared" ref="N408:N414" si="16">G408*I408</f>
        <v>1000000</v>
      </c>
      <c r="O408" s="235"/>
      <c r="P408" s="997"/>
      <c r="Q408" s="997"/>
      <c r="R408" s="246"/>
    </row>
    <row r="409" spans="1:18" ht="14.45" customHeight="1">
      <c r="A409" s="224"/>
      <c r="B409" s="225"/>
      <c r="C409" s="226"/>
      <c r="D409" s="521"/>
      <c r="E409" s="521"/>
      <c r="F409" s="998" t="s">
        <v>2818</v>
      </c>
      <c r="G409" s="252">
        <v>300000</v>
      </c>
      <c r="H409" s="240" t="s">
        <v>1639</v>
      </c>
      <c r="I409" s="256">
        <v>10</v>
      </c>
      <c r="J409" s="240"/>
      <c r="K409" s="256"/>
      <c r="L409" s="243"/>
      <c r="M409" s="244" t="s">
        <v>1520</v>
      </c>
      <c r="N409" s="1570">
        <f t="shared" si="16"/>
        <v>3000000</v>
      </c>
      <c r="O409" s="235"/>
      <c r="P409" s="997"/>
      <c r="Q409" s="997"/>
      <c r="R409" s="246"/>
    </row>
    <row r="410" spans="1:18" ht="14.45" customHeight="1">
      <c r="A410" s="224"/>
      <c r="B410" s="225"/>
      <c r="C410" s="226"/>
      <c r="D410" s="521"/>
      <c r="E410" s="521"/>
      <c r="F410" s="998" t="s">
        <v>2777</v>
      </c>
      <c r="G410" s="252">
        <v>5000</v>
      </c>
      <c r="H410" s="240" t="s">
        <v>1639</v>
      </c>
      <c r="I410" s="241">
        <v>1000</v>
      </c>
      <c r="J410" s="240"/>
      <c r="K410" s="256"/>
      <c r="L410" s="243"/>
      <c r="M410" s="244" t="s">
        <v>1520</v>
      </c>
      <c r="N410" s="1570">
        <f t="shared" si="16"/>
        <v>5000000</v>
      </c>
      <c r="O410" s="235"/>
      <c r="P410" s="997"/>
      <c r="Q410" s="997"/>
      <c r="R410" s="246"/>
    </row>
    <row r="411" spans="1:18" ht="14.45" customHeight="1">
      <c r="A411" s="224"/>
      <c r="B411" s="225"/>
      <c r="C411" s="226"/>
      <c r="D411" s="521"/>
      <c r="E411" s="521"/>
      <c r="F411" s="998" t="s">
        <v>2817</v>
      </c>
      <c r="G411" s="252">
        <v>7000</v>
      </c>
      <c r="H411" s="240" t="s">
        <v>1639</v>
      </c>
      <c r="I411" s="241">
        <v>1000</v>
      </c>
      <c r="J411" s="240"/>
      <c r="K411" s="256"/>
      <c r="L411" s="243"/>
      <c r="M411" s="244" t="s">
        <v>1520</v>
      </c>
      <c r="N411" s="1570">
        <f t="shared" si="16"/>
        <v>7000000</v>
      </c>
      <c r="O411" s="235"/>
      <c r="P411" s="997"/>
      <c r="Q411" s="997"/>
      <c r="R411" s="246"/>
    </row>
    <row r="412" spans="1:18" ht="14.45" customHeight="1">
      <c r="A412" s="224"/>
      <c r="B412" s="225"/>
      <c r="C412" s="226"/>
      <c r="D412" s="521"/>
      <c r="E412" s="521"/>
      <c r="F412" s="998" t="s">
        <v>2817</v>
      </c>
      <c r="G412" s="252">
        <v>5000</v>
      </c>
      <c r="H412" s="240" t="s">
        <v>1639</v>
      </c>
      <c r="I412" s="241">
        <v>2000</v>
      </c>
      <c r="J412" s="240"/>
      <c r="K412" s="256"/>
      <c r="L412" s="243"/>
      <c r="M412" s="244" t="s">
        <v>1520</v>
      </c>
      <c r="N412" s="1570">
        <f t="shared" si="16"/>
        <v>10000000</v>
      </c>
      <c r="O412" s="235"/>
      <c r="P412" s="997"/>
      <c r="Q412" s="997"/>
      <c r="R412" s="246"/>
    </row>
    <row r="413" spans="1:18" ht="14.45" customHeight="1">
      <c r="A413" s="224"/>
      <c r="B413" s="225"/>
      <c r="C413" s="226"/>
      <c r="D413" s="521"/>
      <c r="E413" s="521"/>
      <c r="F413" s="998" t="s">
        <v>2819</v>
      </c>
      <c r="G413" s="252">
        <v>1750000</v>
      </c>
      <c r="H413" s="240" t="s">
        <v>1639</v>
      </c>
      <c r="I413" s="256">
        <v>2</v>
      </c>
      <c r="J413" s="240"/>
      <c r="K413" s="256"/>
      <c r="L413" s="243"/>
      <c r="M413" s="244" t="s">
        <v>1520</v>
      </c>
      <c r="N413" s="1570">
        <f t="shared" si="16"/>
        <v>3500000</v>
      </c>
      <c r="O413" s="235"/>
      <c r="P413" s="997"/>
      <c r="Q413" s="997"/>
      <c r="R413" s="246"/>
    </row>
    <row r="414" spans="1:18" ht="14.45" customHeight="1">
      <c r="A414" s="224"/>
      <c r="B414" s="225"/>
      <c r="C414" s="226"/>
      <c r="D414" s="521"/>
      <c r="E414" s="521"/>
      <c r="F414" s="998" t="s">
        <v>2810</v>
      </c>
      <c r="G414" s="252">
        <v>250000</v>
      </c>
      <c r="H414" s="240" t="s">
        <v>1639</v>
      </c>
      <c r="I414" s="256">
        <v>2</v>
      </c>
      <c r="J414" s="240"/>
      <c r="K414" s="256"/>
      <c r="L414" s="243"/>
      <c r="M414" s="244" t="s">
        <v>1520</v>
      </c>
      <c r="N414" s="1570">
        <f t="shared" si="16"/>
        <v>500000</v>
      </c>
      <c r="O414" s="235"/>
      <c r="P414" s="997"/>
      <c r="Q414" s="997"/>
      <c r="R414" s="246"/>
    </row>
    <row r="415" spans="1:18" ht="14.45" customHeight="1">
      <c r="A415" s="224"/>
      <c r="B415" s="225"/>
      <c r="C415" s="226"/>
      <c r="D415" s="521"/>
      <c r="E415" s="521"/>
      <c r="F415" s="574" t="s">
        <v>2238</v>
      </c>
      <c r="G415" s="252"/>
      <c r="H415" s="240"/>
      <c r="I415" s="241"/>
      <c r="J415" s="240"/>
      <c r="K415" s="256"/>
      <c r="L415" s="243"/>
      <c r="M415" s="244"/>
      <c r="N415" s="234">
        <f>SUM(N416:N419)</f>
        <v>20000000</v>
      </c>
      <c r="O415" s="235"/>
      <c r="P415" s="997"/>
      <c r="Q415" s="997"/>
      <c r="R415" s="246"/>
    </row>
    <row r="416" spans="1:18" ht="14.45" customHeight="1">
      <c r="A416" s="224"/>
      <c r="B416" s="225"/>
      <c r="C416" s="226"/>
      <c r="D416" s="521"/>
      <c r="E416" s="521"/>
      <c r="F416" s="998" t="s">
        <v>2777</v>
      </c>
      <c r="G416" s="252">
        <v>3000</v>
      </c>
      <c r="H416" s="240" t="s">
        <v>1639</v>
      </c>
      <c r="I416" s="241">
        <v>2000</v>
      </c>
      <c r="J416" s="240"/>
      <c r="K416" s="256"/>
      <c r="L416" s="243"/>
      <c r="M416" s="244" t="s">
        <v>1520</v>
      </c>
      <c r="N416" s="1570">
        <f>G416*I416</f>
        <v>6000000</v>
      </c>
      <c r="O416" s="235"/>
      <c r="P416" s="997"/>
      <c r="Q416" s="997"/>
      <c r="R416" s="246"/>
    </row>
    <row r="417" spans="1:20" ht="14.45" customHeight="1">
      <c r="A417" s="224"/>
      <c r="B417" s="225"/>
      <c r="C417" s="226"/>
      <c r="D417" s="521"/>
      <c r="E417" s="521"/>
      <c r="F417" s="998" t="s">
        <v>2836</v>
      </c>
      <c r="G417" s="252">
        <v>3000</v>
      </c>
      <c r="H417" s="240" t="s">
        <v>1639</v>
      </c>
      <c r="I417" s="241">
        <v>2000</v>
      </c>
      <c r="J417" s="240"/>
      <c r="K417" s="256"/>
      <c r="L417" s="243"/>
      <c r="M417" s="244" t="s">
        <v>1520</v>
      </c>
      <c r="N417" s="1570">
        <f>G417*I417</f>
        <v>6000000</v>
      </c>
      <c r="O417" s="235"/>
      <c r="P417" s="997"/>
      <c r="Q417" s="997"/>
      <c r="R417" s="246"/>
    </row>
    <row r="418" spans="1:20" ht="14.45" customHeight="1">
      <c r="A418" s="224"/>
      <c r="B418" s="225"/>
      <c r="C418" s="226"/>
      <c r="D418" s="521"/>
      <c r="E418" s="521"/>
      <c r="F418" s="998" t="s">
        <v>2817</v>
      </c>
      <c r="G418" s="252">
        <v>100000</v>
      </c>
      <c r="H418" s="240" t="s">
        <v>1639</v>
      </c>
      <c r="I418" s="256">
        <v>50</v>
      </c>
      <c r="J418" s="240"/>
      <c r="K418" s="256"/>
      <c r="L418" s="243"/>
      <c r="M418" s="244" t="s">
        <v>1520</v>
      </c>
      <c r="N418" s="1570">
        <f>G418*I418</f>
        <v>5000000</v>
      </c>
      <c r="O418" s="235"/>
      <c r="P418" s="997"/>
      <c r="Q418" s="997"/>
      <c r="R418" s="246"/>
    </row>
    <row r="419" spans="1:20" ht="14.45" customHeight="1">
      <c r="A419" s="576"/>
      <c r="B419" s="278"/>
      <c r="C419" s="279"/>
      <c r="D419" s="1116"/>
      <c r="E419" s="1116"/>
      <c r="F419" s="998" t="s">
        <v>2775</v>
      </c>
      <c r="G419" s="579">
        <v>60000</v>
      </c>
      <c r="H419" s="283" t="s">
        <v>2190</v>
      </c>
      <c r="I419" s="256">
        <v>50</v>
      </c>
      <c r="J419" s="283"/>
      <c r="K419" s="592"/>
      <c r="L419" s="1402"/>
      <c r="M419" s="285" t="s">
        <v>2197</v>
      </c>
      <c r="N419" s="1585">
        <f>G419*I419</f>
        <v>3000000</v>
      </c>
      <c r="O419" s="287"/>
      <c r="P419" s="1027"/>
      <c r="Q419" s="1027"/>
      <c r="R419" s="288"/>
    </row>
    <row r="420" spans="1:20" ht="14.45" customHeight="1">
      <c r="A420" s="224"/>
      <c r="B420" s="225"/>
      <c r="C420" s="226"/>
      <c r="D420" s="521"/>
      <c r="E420" s="521"/>
      <c r="F420" s="574" t="s">
        <v>2239</v>
      </c>
      <c r="G420" s="252"/>
      <c r="H420" s="240"/>
      <c r="I420" s="241"/>
      <c r="J420" s="240"/>
      <c r="K420" s="256"/>
      <c r="L420" s="243"/>
      <c r="M420" s="244"/>
      <c r="N420" s="234">
        <f>SUM(N421:N422)</f>
        <v>2000000</v>
      </c>
      <c r="O420" s="235"/>
      <c r="P420" s="997"/>
      <c r="Q420" s="997"/>
      <c r="R420" s="246"/>
    </row>
    <row r="421" spans="1:20" ht="14.45" customHeight="1">
      <c r="A421" s="224"/>
      <c r="B421" s="225"/>
      <c r="C421" s="226"/>
      <c r="D421" s="521"/>
      <c r="E421" s="521"/>
      <c r="F421" s="998" t="s">
        <v>2837</v>
      </c>
      <c r="G421" s="252">
        <v>900000</v>
      </c>
      <c r="H421" s="240" t="s">
        <v>2207</v>
      </c>
      <c r="I421" s="256">
        <v>2</v>
      </c>
      <c r="J421" s="240"/>
      <c r="K421" s="256"/>
      <c r="L421" s="243"/>
      <c r="M421" s="244" t="s">
        <v>2197</v>
      </c>
      <c r="N421" s="245">
        <f>G421*I421</f>
        <v>1800000</v>
      </c>
      <c r="O421" s="235"/>
      <c r="P421" s="997"/>
      <c r="Q421" s="997"/>
      <c r="R421" s="246"/>
    </row>
    <row r="422" spans="1:20" ht="14.45" customHeight="1">
      <c r="A422" s="224"/>
      <c r="B422" s="225"/>
      <c r="C422" s="226"/>
      <c r="D422" s="521"/>
      <c r="E422" s="521"/>
      <c r="F422" s="998" t="s">
        <v>2838</v>
      </c>
      <c r="G422" s="252">
        <v>200000</v>
      </c>
      <c r="H422" s="240" t="s">
        <v>1639</v>
      </c>
      <c r="I422" s="256">
        <v>1</v>
      </c>
      <c r="J422" s="240"/>
      <c r="K422" s="256"/>
      <c r="L422" s="243"/>
      <c r="M422" s="244" t="s">
        <v>1520</v>
      </c>
      <c r="N422" s="245">
        <f>G422*I422</f>
        <v>200000</v>
      </c>
      <c r="O422" s="235"/>
      <c r="P422" s="997"/>
      <c r="Q422" s="997"/>
      <c r="R422" s="246"/>
    </row>
    <row r="423" spans="1:20" ht="14.45" customHeight="1">
      <c r="A423" s="224"/>
      <c r="B423" s="225"/>
      <c r="C423" s="226"/>
      <c r="D423" s="521"/>
      <c r="E423" s="2009" t="s">
        <v>1353</v>
      </c>
      <c r="F423" s="2010"/>
      <c r="G423" s="228"/>
      <c r="H423" s="66"/>
      <c r="I423" s="66"/>
      <c r="J423" s="66"/>
      <c r="K423" s="66"/>
      <c r="L423" s="229"/>
      <c r="M423" s="230"/>
      <c r="N423" s="1672"/>
      <c r="O423" s="171">
        <f>ROUNDUP((N424),-3)</f>
        <v>49500000</v>
      </c>
      <c r="P423" s="1668">
        <v>0</v>
      </c>
      <c r="Q423" s="1668">
        <f>+O423-P423</f>
        <v>49500000</v>
      </c>
      <c r="R423" s="1669">
        <v>1</v>
      </c>
      <c r="T423" s="275"/>
    </row>
    <row r="424" spans="1:20" ht="14.45" customHeight="1">
      <c r="A424" s="224"/>
      <c r="B424" s="225"/>
      <c r="C424" s="226"/>
      <c r="D424" s="521"/>
      <c r="E424" s="521"/>
      <c r="F424" s="574" t="s">
        <v>1354</v>
      </c>
      <c r="G424" s="252"/>
      <c r="H424" s="240"/>
      <c r="I424" s="241"/>
      <c r="J424" s="240"/>
      <c r="K424" s="256"/>
      <c r="L424" s="243"/>
      <c r="M424" s="244"/>
      <c r="N424" s="251">
        <f>SUM(N425:N426)</f>
        <v>49500000</v>
      </c>
      <c r="O424" s="235"/>
      <c r="P424" s="997"/>
      <c r="Q424" s="997"/>
      <c r="R424" s="246"/>
    </row>
    <row r="425" spans="1:20" ht="14.45" customHeight="1">
      <c r="A425" s="224"/>
      <c r="B425" s="225"/>
      <c r="C425" s="226"/>
      <c r="D425" s="521"/>
      <c r="E425" s="521"/>
      <c r="F425" s="998" t="s">
        <v>1355</v>
      </c>
      <c r="G425" s="252">
        <v>4000000</v>
      </c>
      <c r="H425" s="240" t="s">
        <v>282</v>
      </c>
      <c r="I425" s="242">
        <v>12</v>
      </c>
      <c r="J425" s="240"/>
      <c r="K425" s="256"/>
      <c r="L425" s="243"/>
      <c r="M425" s="244" t="s">
        <v>274</v>
      </c>
      <c r="N425" s="245">
        <f>G425*I425</f>
        <v>48000000</v>
      </c>
      <c r="O425" s="235"/>
      <c r="P425" s="997"/>
      <c r="Q425" s="997"/>
      <c r="R425" s="246"/>
    </row>
    <row r="426" spans="1:20" ht="14.45" customHeight="1">
      <c r="A426" s="224"/>
      <c r="B426" s="225"/>
      <c r="C426" s="226"/>
      <c r="D426" s="521"/>
      <c r="E426" s="521"/>
      <c r="F426" s="998" t="s">
        <v>1356</v>
      </c>
      <c r="G426" s="252">
        <v>1500000</v>
      </c>
      <c r="H426" s="240" t="s">
        <v>282</v>
      </c>
      <c r="I426" s="265">
        <v>1</v>
      </c>
      <c r="J426" s="240"/>
      <c r="K426" s="256"/>
      <c r="L426" s="243"/>
      <c r="M426" s="244" t="s">
        <v>281</v>
      </c>
      <c r="N426" s="245">
        <f>G426*I426</f>
        <v>1500000</v>
      </c>
      <c r="O426" s="235"/>
      <c r="P426" s="997"/>
      <c r="Q426" s="997"/>
      <c r="R426" s="246"/>
    </row>
    <row r="427" spans="1:20" ht="14.45" customHeight="1">
      <c r="A427" s="224"/>
      <c r="B427" s="225"/>
      <c r="C427" s="226"/>
      <c r="D427" s="521"/>
      <c r="E427" s="2009" t="s">
        <v>1357</v>
      </c>
      <c r="F427" s="2010"/>
      <c r="G427" s="1676"/>
      <c r="H427" s="66"/>
      <c r="I427" s="1677"/>
      <c r="J427" s="66"/>
      <c r="K427" s="1678"/>
      <c r="L427" s="1679"/>
      <c r="M427" s="230"/>
      <c r="N427" s="1672"/>
      <c r="O427" s="171">
        <f>ROUNDUP((N428),-3)</f>
        <v>6000000</v>
      </c>
      <c r="P427" s="1668">
        <v>0</v>
      </c>
      <c r="Q427" s="1668">
        <f>+O427-P427</f>
        <v>6000000</v>
      </c>
      <c r="R427" s="1669">
        <v>1</v>
      </c>
      <c r="T427" s="275"/>
    </row>
    <row r="428" spans="1:20" ht="14.45" customHeight="1">
      <c r="A428" s="224"/>
      <c r="B428" s="225"/>
      <c r="C428" s="226"/>
      <c r="D428" s="521"/>
      <c r="E428" s="521"/>
      <c r="F428" s="574" t="s">
        <v>1358</v>
      </c>
      <c r="G428" s="252"/>
      <c r="H428" s="240"/>
      <c r="I428" s="265"/>
      <c r="J428" s="240"/>
      <c r="K428" s="256"/>
      <c r="L428" s="243"/>
      <c r="M428" s="244"/>
      <c r="N428" s="234">
        <f>SUM(N429)</f>
        <v>6000000</v>
      </c>
      <c r="O428" s="235"/>
      <c r="P428" s="997"/>
      <c r="Q428" s="997"/>
      <c r="R428" s="246"/>
    </row>
    <row r="429" spans="1:20" ht="14.45" customHeight="1">
      <c r="A429" s="224"/>
      <c r="B429" s="225"/>
      <c r="C429" s="226"/>
      <c r="D429" s="521"/>
      <c r="E429" s="521"/>
      <c r="F429" s="998" t="s">
        <v>1359</v>
      </c>
      <c r="G429" s="252">
        <v>6000000</v>
      </c>
      <c r="H429" s="240" t="s">
        <v>282</v>
      </c>
      <c r="I429" s="265">
        <v>1</v>
      </c>
      <c r="J429" s="240"/>
      <c r="K429" s="256"/>
      <c r="L429" s="243"/>
      <c r="M429" s="244" t="s">
        <v>281</v>
      </c>
      <c r="N429" s="245">
        <f>G429*I429</f>
        <v>6000000</v>
      </c>
      <c r="O429" s="235"/>
      <c r="P429" s="997"/>
      <c r="Q429" s="997"/>
      <c r="R429" s="246"/>
    </row>
    <row r="430" spans="1:20" ht="14.45" customHeight="1">
      <c r="A430" s="224"/>
      <c r="B430" s="225"/>
      <c r="C430" s="226"/>
      <c r="D430" s="521"/>
      <c r="E430" s="2009" t="s">
        <v>1360</v>
      </c>
      <c r="F430" s="2010"/>
      <c r="G430" s="228"/>
      <c r="H430" s="66"/>
      <c r="I430" s="66"/>
      <c r="J430" s="66"/>
      <c r="K430" s="66"/>
      <c r="L430" s="229"/>
      <c r="M430" s="230"/>
      <c r="N430" s="1672"/>
      <c r="O430" s="171">
        <f>ROUNDUP((N431),-3)</f>
        <v>1000000</v>
      </c>
      <c r="P430" s="1668">
        <v>0</v>
      </c>
      <c r="Q430" s="1668">
        <f>+O430-P430</f>
        <v>1000000</v>
      </c>
      <c r="R430" s="1669">
        <v>1</v>
      </c>
    </row>
    <row r="431" spans="1:20" ht="14.45" customHeight="1">
      <c r="A431" s="224"/>
      <c r="B431" s="225"/>
      <c r="C431" s="226"/>
      <c r="D431" s="521"/>
      <c r="E431" s="521"/>
      <c r="F431" s="574" t="s">
        <v>2203</v>
      </c>
      <c r="G431" s="252"/>
      <c r="H431" s="240"/>
      <c r="I431" s="265"/>
      <c r="J431" s="240"/>
      <c r="K431" s="256"/>
      <c r="L431" s="243"/>
      <c r="M431" s="244"/>
      <c r="N431" s="234">
        <f>SUM(N432)</f>
        <v>1000000</v>
      </c>
      <c r="O431" s="235"/>
      <c r="P431" s="997"/>
      <c r="Q431" s="997"/>
      <c r="R431" s="246"/>
    </row>
    <row r="432" spans="1:20" ht="14.45" customHeight="1">
      <c r="A432" s="224"/>
      <c r="B432" s="225"/>
      <c r="C432" s="226"/>
      <c r="D432" s="521"/>
      <c r="E432" s="521"/>
      <c r="F432" s="998" t="s">
        <v>1361</v>
      </c>
      <c r="G432" s="252">
        <v>1000000</v>
      </c>
      <c r="H432" s="240" t="s">
        <v>2204</v>
      </c>
      <c r="I432" s="265">
        <v>1</v>
      </c>
      <c r="J432" s="240"/>
      <c r="K432" s="256"/>
      <c r="L432" s="243"/>
      <c r="M432" s="244" t="s">
        <v>274</v>
      </c>
      <c r="N432" s="245">
        <f>G432*I432</f>
        <v>1000000</v>
      </c>
      <c r="O432" s="235"/>
      <c r="P432" s="997"/>
      <c r="Q432" s="997"/>
      <c r="R432" s="246"/>
    </row>
    <row r="433" spans="1:21" ht="14.45" customHeight="1">
      <c r="A433" s="224"/>
      <c r="B433" s="225"/>
      <c r="C433" s="226"/>
      <c r="D433" s="521"/>
      <c r="E433" s="2009" t="s">
        <v>1362</v>
      </c>
      <c r="F433" s="2010"/>
      <c r="G433" s="228"/>
      <c r="H433" s="66"/>
      <c r="I433" s="66"/>
      <c r="J433" s="66"/>
      <c r="K433" s="66"/>
      <c r="L433" s="229"/>
      <c r="M433" s="230"/>
      <c r="N433" s="1672"/>
      <c r="O433" s="171">
        <f>ROUNDUP((N434),-3)</f>
        <v>24660000</v>
      </c>
      <c r="P433" s="1668">
        <v>0</v>
      </c>
      <c r="Q433" s="1668">
        <f>+O433-P433</f>
        <v>24660000</v>
      </c>
      <c r="R433" s="1669">
        <v>1</v>
      </c>
    </row>
    <row r="434" spans="1:21" ht="14.45" customHeight="1">
      <c r="A434" s="224"/>
      <c r="B434" s="225"/>
      <c r="C434" s="226"/>
      <c r="D434" s="521"/>
      <c r="E434" s="521"/>
      <c r="F434" s="574" t="s">
        <v>2198</v>
      </c>
      <c r="G434" s="252"/>
      <c r="H434" s="240"/>
      <c r="I434" s="241"/>
      <c r="J434" s="240"/>
      <c r="K434" s="242"/>
      <c r="L434" s="243"/>
      <c r="M434" s="244"/>
      <c r="N434" s="234">
        <f>SUM(N435:N438)</f>
        <v>24660000</v>
      </c>
      <c r="O434" s="235"/>
      <c r="P434" s="997"/>
      <c r="Q434" s="997"/>
      <c r="R434" s="246"/>
      <c r="T434" s="275"/>
    </row>
    <row r="435" spans="1:21" ht="14.45" customHeight="1">
      <c r="A435" s="224"/>
      <c r="B435" s="225"/>
      <c r="C435" s="226"/>
      <c r="D435" s="521"/>
      <c r="E435" s="521"/>
      <c r="F435" s="998" t="s">
        <v>1363</v>
      </c>
      <c r="G435" s="252">
        <v>130000</v>
      </c>
      <c r="H435" s="240" t="s">
        <v>273</v>
      </c>
      <c r="I435" s="241">
        <v>3</v>
      </c>
      <c r="J435" s="240" t="s">
        <v>273</v>
      </c>
      <c r="K435" s="242">
        <v>12</v>
      </c>
      <c r="L435" s="243"/>
      <c r="M435" s="244" t="s">
        <v>274</v>
      </c>
      <c r="N435" s="245">
        <f>G435*I435*K435</f>
        <v>4680000</v>
      </c>
      <c r="O435" s="235"/>
      <c r="P435" s="997"/>
      <c r="Q435" s="997"/>
      <c r="R435" s="246"/>
      <c r="U435" s="275"/>
    </row>
    <row r="436" spans="1:21" ht="14.45" customHeight="1">
      <c r="A436" s="224"/>
      <c r="B436" s="225"/>
      <c r="C436" s="226"/>
      <c r="D436" s="521"/>
      <c r="E436" s="521"/>
      <c r="F436" s="998" t="s">
        <v>2199</v>
      </c>
      <c r="G436" s="252">
        <v>3390000</v>
      </c>
      <c r="H436" s="240" t="s">
        <v>2200</v>
      </c>
      <c r="I436" s="256">
        <v>2</v>
      </c>
      <c r="J436" s="240"/>
      <c r="K436" s="265"/>
      <c r="L436" s="243"/>
      <c r="M436" s="244" t="s">
        <v>274</v>
      </c>
      <c r="N436" s="245">
        <f>G436*I436</f>
        <v>6780000</v>
      </c>
      <c r="O436" s="235"/>
      <c r="P436" s="997"/>
      <c r="Q436" s="997"/>
      <c r="R436" s="246"/>
    </row>
    <row r="437" spans="1:21" ht="14.45" customHeight="1">
      <c r="A437" s="224"/>
      <c r="B437" s="225"/>
      <c r="C437" s="226"/>
      <c r="D437" s="521"/>
      <c r="E437" s="521"/>
      <c r="F437" s="998" t="s">
        <v>1364</v>
      </c>
      <c r="G437" s="252">
        <v>800000</v>
      </c>
      <c r="H437" s="240" t="s">
        <v>273</v>
      </c>
      <c r="I437" s="242">
        <v>12</v>
      </c>
      <c r="J437" s="240"/>
      <c r="K437" s="265"/>
      <c r="L437" s="243"/>
      <c r="M437" s="244" t="s">
        <v>274</v>
      </c>
      <c r="N437" s="1143">
        <f>G437*I437</f>
        <v>9600000</v>
      </c>
      <c r="O437" s="235"/>
      <c r="P437" s="997"/>
      <c r="Q437" s="997"/>
      <c r="R437" s="246"/>
    </row>
    <row r="438" spans="1:21" ht="14.45" customHeight="1">
      <c r="A438" s="224"/>
      <c r="B438" s="225"/>
      <c r="C438" s="279"/>
      <c r="D438" s="1116"/>
      <c r="E438" s="1116"/>
      <c r="F438" s="1023" t="s">
        <v>2201</v>
      </c>
      <c r="G438" s="579">
        <v>300000</v>
      </c>
      <c r="H438" s="283" t="s">
        <v>2202</v>
      </c>
      <c r="I438" s="284">
        <v>12</v>
      </c>
      <c r="J438" s="283"/>
      <c r="K438" s="592"/>
      <c r="L438" s="1402"/>
      <c r="M438" s="285" t="s">
        <v>274</v>
      </c>
      <c r="N438" s="1407">
        <f>G438*I438</f>
        <v>3600000</v>
      </c>
      <c r="O438" s="287"/>
      <c r="P438" s="1027"/>
      <c r="Q438" s="1027"/>
      <c r="R438" s="288"/>
    </row>
    <row r="439" spans="1:21" ht="14.45" customHeight="1">
      <c r="A439" s="224"/>
      <c r="B439" s="225"/>
      <c r="C439" s="266" t="s">
        <v>1406</v>
      </c>
      <c r="D439" s="214"/>
      <c r="E439" s="214"/>
      <c r="F439" s="215"/>
      <c r="G439" s="579"/>
      <c r="H439" s="283"/>
      <c r="I439" s="284"/>
      <c r="J439" s="283"/>
      <c r="K439" s="592"/>
      <c r="L439" s="1402"/>
      <c r="M439" s="285"/>
      <c r="N439" s="286"/>
      <c r="O439" s="211">
        <f>O440</f>
        <v>30874000</v>
      </c>
      <c r="P439" s="211">
        <f>P440</f>
        <v>0</v>
      </c>
      <c r="Q439" s="211">
        <f>+O439-P439</f>
        <v>30874000</v>
      </c>
      <c r="R439" s="212">
        <v>1</v>
      </c>
    </row>
    <row r="440" spans="1:21" ht="14.45" customHeight="1">
      <c r="A440" s="224"/>
      <c r="B440" s="225"/>
      <c r="C440" s="222"/>
      <c r="D440" s="394" t="s">
        <v>1405</v>
      </c>
      <c r="E440" s="84"/>
      <c r="F440" s="85"/>
      <c r="G440" s="1680"/>
      <c r="H440" s="1681"/>
      <c r="I440" s="1682"/>
      <c r="J440" s="1681"/>
      <c r="K440" s="1683"/>
      <c r="L440" s="1684"/>
      <c r="M440" s="1685"/>
      <c r="N440" s="1686"/>
      <c r="O440" s="76">
        <f>O441</f>
        <v>30874000</v>
      </c>
      <c r="P440" s="76">
        <f>P441</f>
        <v>0</v>
      </c>
      <c r="Q440" s="76">
        <f>+O440-P440</f>
        <v>30874000</v>
      </c>
      <c r="R440" s="135">
        <v>1</v>
      </c>
      <c r="T440" s="275"/>
    </row>
    <row r="441" spans="1:21" ht="14.45" customHeight="1">
      <c r="A441" s="224"/>
      <c r="B441" s="225"/>
      <c r="C441" s="226"/>
      <c r="D441" s="267"/>
      <c r="E441" s="66" t="s">
        <v>1643</v>
      </c>
      <c r="F441" s="227"/>
      <c r="G441" s="227"/>
      <c r="H441" s="227"/>
      <c r="I441" s="227"/>
      <c r="J441" s="227"/>
      <c r="K441" s="227"/>
      <c r="L441" s="227"/>
      <c r="M441" s="227"/>
      <c r="N441" s="227"/>
      <c r="O441" s="171">
        <f>ROUNDUP((N442+N444),-3)</f>
        <v>30874000</v>
      </c>
      <c r="P441" s="171">
        <v>0</v>
      </c>
      <c r="Q441" s="171">
        <f>O441-P441</f>
        <v>30874000</v>
      </c>
      <c r="R441" s="172">
        <v>1</v>
      </c>
    </row>
    <row r="442" spans="1:21" ht="14.45" customHeight="1">
      <c r="A442" s="224"/>
      <c r="B442" s="225"/>
      <c r="C442" s="226"/>
      <c r="D442" s="225"/>
      <c r="E442" s="1037"/>
      <c r="F442" s="240" t="s">
        <v>1640</v>
      </c>
      <c r="G442" s="998"/>
      <c r="H442" s="998"/>
      <c r="I442" s="998"/>
      <c r="J442" s="998"/>
      <c r="K442" s="998"/>
      <c r="L442" s="998"/>
      <c r="M442" s="998"/>
      <c r="N442" s="234">
        <f>SUM(N443)</f>
        <v>500000</v>
      </c>
      <c r="O442" s="1687"/>
      <c r="P442" s="1687"/>
      <c r="Q442" s="1687"/>
      <c r="R442" s="1688"/>
    </row>
    <row r="443" spans="1:21" ht="14.45" customHeight="1">
      <c r="A443" s="224"/>
      <c r="B443" s="225"/>
      <c r="C443" s="226"/>
      <c r="D443" s="225"/>
      <c r="E443" s="223"/>
      <c r="F443" s="998" t="s">
        <v>928</v>
      </c>
      <c r="G443" s="252">
        <v>500000</v>
      </c>
      <c r="H443" s="240" t="s">
        <v>273</v>
      </c>
      <c r="I443" s="999">
        <v>1</v>
      </c>
      <c r="J443" s="240"/>
      <c r="K443" s="256"/>
      <c r="L443" s="243"/>
      <c r="M443" s="244" t="s">
        <v>281</v>
      </c>
      <c r="N443" s="245">
        <f>G443*I443</f>
        <v>500000</v>
      </c>
      <c r="O443" s="235"/>
      <c r="P443" s="997"/>
      <c r="Q443" s="997"/>
      <c r="R443" s="246"/>
      <c r="U443" s="275"/>
    </row>
    <row r="444" spans="1:21" ht="14.45" customHeight="1">
      <c r="A444" s="224"/>
      <c r="B444" s="225"/>
      <c r="C444" s="521"/>
      <c r="D444" s="225"/>
      <c r="E444" s="223"/>
      <c r="F444" s="240" t="s">
        <v>1641</v>
      </c>
      <c r="G444" s="252"/>
      <c r="H444" s="240"/>
      <c r="I444" s="242"/>
      <c r="J444" s="240"/>
      <c r="K444" s="256"/>
      <c r="L444" s="243"/>
      <c r="M444" s="244"/>
      <c r="N444" s="234">
        <f>SUM(N445)</f>
        <v>30374000</v>
      </c>
      <c r="O444" s="235"/>
      <c r="P444" s="997"/>
      <c r="Q444" s="997"/>
      <c r="R444" s="246"/>
    </row>
    <row r="445" spans="1:21" ht="14.45" customHeight="1" thickBot="1">
      <c r="A445" s="425"/>
      <c r="B445" s="426"/>
      <c r="C445" s="1135"/>
      <c r="D445" s="426"/>
      <c r="E445" s="431"/>
      <c r="F445" s="432" t="s">
        <v>1642</v>
      </c>
      <c r="G445" s="433">
        <v>30374000</v>
      </c>
      <c r="H445" s="434" t="s">
        <v>273</v>
      </c>
      <c r="I445" s="1136">
        <v>1</v>
      </c>
      <c r="J445" s="434"/>
      <c r="K445" s="1689"/>
      <c r="L445" s="1690"/>
      <c r="M445" s="437" t="s">
        <v>281</v>
      </c>
      <c r="N445" s="438">
        <f>G445*I445</f>
        <v>30374000</v>
      </c>
      <c r="O445" s="1014"/>
      <c r="P445" s="1015"/>
      <c r="Q445" s="1015"/>
      <c r="R445" s="1016"/>
    </row>
    <row r="447" spans="1:21">
      <c r="F447" s="236"/>
    </row>
  </sheetData>
  <mergeCells count="25">
    <mergeCell ref="E283:F283"/>
    <mergeCell ref="E423:F423"/>
    <mergeCell ref="E427:F427"/>
    <mergeCell ref="E430:F430"/>
    <mergeCell ref="E433:F433"/>
    <mergeCell ref="I102:J102"/>
    <mergeCell ref="I51:J51"/>
    <mergeCell ref="I55:J55"/>
    <mergeCell ref="I56:J56"/>
    <mergeCell ref="I57:J57"/>
    <mergeCell ref="I58:J58"/>
    <mergeCell ref="I59:J59"/>
    <mergeCell ref="I94:J94"/>
    <mergeCell ref="I98:J98"/>
    <mergeCell ref="I99:J99"/>
    <mergeCell ref="I100:J100"/>
    <mergeCell ref="I101:J101"/>
    <mergeCell ref="A1:R1"/>
    <mergeCell ref="Q2:R2"/>
    <mergeCell ref="A3:F3"/>
    <mergeCell ref="G3:N4"/>
    <mergeCell ref="O3:O4"/>
    <mergeCell ref="P3:P4"/>
    <mergeCell ref="Q3:Q4"/>
    <mergeCell ref="R3:R4"/>
  </mergeCells>
  <phoneticPr fontId="2" type="noConversion"/>
  <printOptions horizontalCentered="1"/>
  <pageMargins left="0.78740157480314965" right="0.78740157480314965" top="0.78740157480314965" bottom="0.78740157480314965" header="0.31496062992125984" footer="0.15748031496062992"/>
  <pageSetup paperSize="9" scale="79" firstPageNumber="84" fitToHeight="0" orientation="landscape" useFirstPageNumber="1" r:id="rId1"/>
  <headerFooter scaleWithDoc="0" alignWithMargins="0">
    <oddFooter>&amp;C&amp;P</oddFooter>
  </headerFooter>
  <rowBreaks count="7" manualBreakCount="7">
    <brk id="39" max="17" man="1"/>
    <brk id="77" max="17" man="1"/>
    <brk id="118" max="17" man="1"/>
    <brk id="150" max="17" man="1"/>
    <brk id="188" max="17" man="1"/>
    <brk id="226" max="17" man="1"/>
    <brk id="419" max="17" man="1"/>
  </rowBreaks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3399FF"/>
    <pageSetUpPr fitToPage="1"/>
  </sheetPr>
  <dimension ref="A1:X285"/>
  <sheetViews>
    <sheetView view="pageBreakPreview" zoomScale="85" zoomScaleNormal="85" zoomScaleSheetLayoutView="85" workbookViewId="0">
      <pane ySplit="7" topLeftCell="A8" activePane="bottomLeft" state="frozen"/>
      <selection activeCell="V20" sqref="V20"/>
      <selection pane="bottomLeft" activeCell="V20" sqref="V20"/>
    </sheetView>
  </sheetViews>
  <sheetFormatPr defaultColWidth="9" defaultRowHeight="13.5"/>
  <cols>
    <col min="1" max="1" width="3.625" style="196" customWidth="1"/>
    <col min="2" max="4" width="3.625" style="193" customWidth="1"/>
    <col min="5" max="5" width="10.625" style="193" customWidth="1"/>
    <col min="6" max="6" width="31.375" style="194" customWidth="1"/>
    <col min="7" max="7" width="12.5" style="195" bestFit="1" customWidth="1"/>
    <col min="8" max="8" width="2.125" style="196" customWidth="1"/>
    <col min="9" max="9" width="7.5" style="196" customWidth="1"/>
    <col min="10" max="10" width="2.125" style="196" customWidth="1"/>
    <col min="11" max="11" width="5.875" style="196" customWidth="1"/>
    <col min="12" max="12" width="2.625" style="197" customWidth="1"/>
    <col min="13" max="13" width="5.375" style="196" customWidth="1"/>
    <col min="14" max="14" width="2.75" style="198" customWidth="1"/>
    <col min="15" max="15" width="2.625" style="198" customWidth="1"/>
    <col min="16" max="16" width="13.625" style="196" customWidth="1"/>
    <col min="17" max="17" width="10.625" style="199" customWidth="1"/>
    <col min="18" max="19" width="10.625" style="200" customWidth="1"/>
    <col min="20" max="20" width="10.625" style="289" customWidth="1"/>
    <col min="21" max="21" width="11.25" style="196" bestFit="1" customWidth="1"/>
    <col min="22" max="22" width="13" style="196" customWidth="1"/>
    <col min="23" max="23" width="10.875" style="196" bestFit="1" customWidth="1"/>
    <col min="24" max="16384" width="9" style="196"/>
  </cols>
  <sheetData>
    <row r="1" spans="1:24" s="192" customFormat="1" ht="35.1" customHeight="1">
      <c r="A1" s="1968" t="s">
        <v>2428</v>
      </c>
      <c r="B1" s="1968"/>
      <c r="C1" s="1968"/>
      <c r="D1" s="1968"/>
      <c r="E1" s="1968"/>
      <c r="F1" s="1968"/>
      <c r="G1" s="1968"/>
      <c r="H1" s="1968"/>
      <c r="I1" s="1968"/>
      <c r="J1" s="1968"/>
      <c r="K1" s="1968"/>
      <c r="L1" s="1968"/>
      <c r="M1" s="1968"/>
      <c r="N1" s="1968"/>
      <c r="O1" s="1968"/>
      <c r="P1" s="1968"/>
      <c r="Q1" s="1968"/>
      <c r="R1" s="1968"/>
      <c r="S1" s="1968"/>
      <c r="T1" s="1968"/>
    </row>
    <row r="2" spans="1:24" ht="15" customHeight="1" thickBot="1">
      <c r="A2" s="192" t="s">
        <v>1474</v>
      </c>
      <c r="S2" s="1969" t="s">
        <v>1473</v>
      </c>
      <c r="T2" s="1969"/>
    </row>
    <row r="3" spans="1:24" s="201" customFormat="1" ht="15" customHeight="1">
      <c r="A3" s="1990" t="s">
        <v>91</v>
      </c>
      <c r="B3" s="1939"/>
      <c r="C3" s="1939"/>
      <c r="D3" s="1939"/>
      <c r="E3" s="1939"/>
      <c r="F3" s="1753"/>
      <c r="G3" s="1940" t="s">
        <v>92</v>
      </c>
      <c r="H3" s="1940"/>
      <c r="I3" s="1940"/>
      <c r="J3" s="1940"/>
      <c r="K3" s="1940"/>
      <c r="L3" s="1940"/>
      <c r="M3" s="1940"/>
      <c r="N3" s="1940"/>
      <c r="O3" s="1940"/>
      <c r="P3" s="1941"/>
      <c r="Q3" s="1944" t="s">
        <v>93</v>
      </c>
      <c r="R3" s="1946" t="s">
        <v>94</v>
      </c>
      <c r="S3" s="1948" t="s">
        <v>95</v>
      </c>
      <c r="T3" s="1950" t="s">
        <v>96</v>
      </c>
    </row>
    <row r="4" spans="1:24" s="201" customFormat="1" ht="15" customHeight="1" thickBot="1">
      <c r="A4" s="1742" t="s">
        <v>97</v>
      </c>
      <c r="B4" s="1743" t="s">
        <v>98</v>
      </c>
      <c r="C4" s="1743" t="s">
        <v>99</v>
      </c>
      <c r="D4" s="1743" t="s">
        <v>100</v>
      </c>
      <c r="E4" s="1743" t="s">
        <v>101</v>
      </c>
      <c r="F4" s="1754" t="s">
        <v>102</v>
      </c>
      <c r="G4" s="1942"/>
      <c r="H4" s="1942"/>
      <c r="I4" s="1942"/>
      <c r="J4" s="1942"/>
      <c r="K4" s="1942"/>
      <c r="L4" s="1942"/>
      <c r="M4" s="1942"/>
      <c r="N4" s="1942"/>
      <c r="O4" s="1942"/>
      <c r="P4" s="1943"/>
      <c r="Q4" s="1945"/>
      <c r="R4" s="1947"/>
      <c r="S4" s="1949"/>
      <c r="T4" s="1951"/>
    </row>
    <row r="5" spans="1:24" s="192" customFormat="1" ht="15" customHeight="1" thickBot="1">
      <c r="A5" s="68" t="s">
        <v>2487</v>
      </c>
      <c r="B5" s="69"/>
      <c r="C5" s="69"/>
      <c r="D5" s="69"/>
      <c r="E5" s="69"/>
      <c r="F5" s="70"/>
      <c r="G5" s="71"/>
      <c r="H5" s="72"/>
      <c r="I5" s="72"/>
      <c r="J5" s="72"/>
      <c r="K5" s="72"/>
      <c r="L5" s="73"/>
      <c r="M5" s="72"/>
      <c r="N5" s="74"/>
      <c r="O5" s="74"/>
      <c r="P5" s="72"/>
      <c r="Q5" s="75">
        <f>Q6</f>
        <v>343577000</v>
      </c>
      <c r="R5" s="75">
        <f>R6</f>
        <v>252039570</v>
      </c>
      <c r="S5" s="75">
        <f>Q5-R5</f>
        <v>91537430</v>
      </c>
      <c r="T5" s="203">
        <f>S5/R5</f>
        <v>0.36318674087564901</v>
      </c>
    </row>
    <row r="6" spans="1:24" s="192" customFormat="1" ht="15" customHeight="1">
      <c r="A6" s="204"/>
      <c r="B6" s="205" t="s">
        <v>498</v>
      </c>
      <c r="C6" s="206"/>
      <c r="D6" s="206"/>
      <c r="E6" s="206"/>
      <c r="F6" s="207"/>
      <c r="G6" s="208"/>
      <c r="H6" s="209"/>
      <c r="I6" s="209"/>
      <c r="J6" s="209"/>
      <c r="K6" s="209"/>
      <c r="L6" s="581"/>
      <c r="M6" s="209"/>
      <c r="N6" s="210"/>
      <c r="O6" s="210"/>
      <c r="P6" s="209"/>
      <c r="Q6" s="211">
        <f>+SUM(Q7+Q134+Q224+Q209)</f>
        <v>343577000</v>
      </c>
      <c r="R6" s="211">
        <f>R7+R134+R209</f>
        <v>252039570</v>
      </c>
      <c r="S6" s="211">
        <f>Q6-R6</f>
        <v>91537430</v>
      </c>
      <c r="T6" s="212">
        <f>S6/R6</f>
        <v>0.36318674087564901</v>
      </c>
      <c r="U6" s="989"/>
    </row>
    <row r="7" spans="1:24" s="192" customFormat="1" ht="15" customHeight="1">
      <c r="A7" s="204"/>
      <c r="B7" s="213"/>
      <c r="C7" s="214" t="s">
        <v>361</v>
      </c>
      <c r="D7" s="214"/>
      <c r="E7" s="214"/>
      <c r="F7" s="215"/>
      <c r="G7" s="216"/>
      <c r="H7" s="217"/>
      <c r="I7" s="217"/>
      <c r="J7" s="217"/>
      <c r="K7" s="217"/>
      <c r="L7" s="218"/>
      <c r="M7" s="217"/>
      <c r="N7" s="219"/>
      <c r="O7" s="219"/>
      <c r="P7" s="217"/>
      <c r="Q7" s="220">
        <f>+SUM(Q8+Q83)</f>
        <v>273792000</v>
      </c>
      <c r="R7" s="220">
        <f>R8+R83</f>
        <v>221675570</v>
      </c>
      <c r="S7" s="220">
        <f>Q7-R7</f>
        <v>52116430</v>
      </c>
      <c r="T7" s="221">
        <f>S7/R7</f>
        <v>0.23510227130576455</v>
      </c>
    </row>
    <row r="8" spans="1:24" s="192" customFormat="1" ht="15" customHeight="1">
      <c r="A8" s="204"/>
      <c r="B8" s="222"/>
      <c r="C8" s="223"/>
      <c r="D8" s="83" t="s">
        <v>82</v>
      </c>
      <c r="E8" s="84"/>
      <c r="F8" s="85"/>
      <c r="G8" s="86"/>
      <c r="H8" s="84"/>
      <c r="I8" s="84"/>
      <c r="J8" s="84"/>
      <c r="K8" s="84"/>
      <c r="L8" s="83"/>
      <c r="M8" s="84"/>
      <c r="N8" s="87"/>
      <c r="O8" s="87"/>
      <c r="P8" s="84"/>
      <c r="Q8" s="76">
        <f>Q9+Q20+Q80</f>
        <v>224951000</v>
      </c>
      <c r="R8" s="76">
        <v>184510000</v>
      </c>
      <c r="S8" s="76">
        <f>Q8-R8</f>
        <v>40441000</v>
      </c>
      <c r="T8" s="77">
        <f>S8/R8</f>
        <v>0.21918053222047584</v>
      </c>
      <c r="U8" s="989"/>
      <c r="V8" s="1691"/>
    </row>
    <row r="9" spans="1:24" ht="15" customHeight="1">
      <c r="A9" s="224"/>
      <c r="B9" s="225"/>
      <c r="C9" s="226"/>
      <c r="D9" s="225"/>
      <c r="E9" s="66" t="s">
        <v>1027</v>
      </c>
      <c r="F9" s="227"/>
      <c r="G9" s="228"/>
      <c r="H9" s="66"/>
      <c r="I9" s="66"/>
      <c r="J9" s="66"/>
      <c r="K9" s="66"/>
      <c r="L9" s="229"/>
      <c r="M9" s="66"/>
      <c r="N9" s="230"/>
      <c r="O9" s="230"/>
      <c r="P9" s="66"/>
      <c r="Q9" s="171">
        <f>ROUNDUP(SUM(P10),-3)</f>
        <v>113414000</v>
      </c>
      <c r="R9" s="171">
        <v>93678470</v>
      </c>
      <c r="S9" s="171">
        <f>Q9-R9</f>
        <v>19735530</v>
      </c>
      <c r="T9" s="172">
        <f>S9/R9</f>
        <v>0.21067306073636771</v>
      </c>
    </row>
    <row r="10" spans="1:24" ht="15" customHeight="1">
      <c r="A10" s="224"/>
      <c r="B10" s="225"/>
      <c r="C10" s="226"/>
      <c r="D10" s="225"/>
      <c r="E10" s="226"/>
      <c r="F10" s="250" t="s">
        <v>2457</v>
      </c>
      <c r="G10" s="249"/>
      <c r="H10" s="240"/>
      <c r="I10" s="240"/>
      <c r="J10" s="240"/>
      <c r="K10" s="240"/>
      <c r="L10" s="250"/>
      <c r="M10" s="244"/>
      <c r="N10" s="240"/>
      <c r="O10" s="244"/>
      <c r="P10" s="234">
        <f>SUM(P11:P19)</f>
        <v>113414000</v>
      </c>
      <c r="Q10" s="101"/>
      <c r="R10" s="101"/>
      <c r="S10" s="101"/>
      <c r="T10" s="102"/>
      <c r="U10" s="1031"/>
      <c r="W10" s="236"/>
      <c r="X10" s="236"/>
    </row>
    <row r="11" spans="1:24" ht="15" customHeight="1">
      <c r="A11" s="224"/>
      <c r="B11" s="225"/>
      <c r="C11" s="226"/>
      <c r="D11" s="225"/>
      <c r="E11" s="226"/>
      <c r="F11" s="998" t="s">
        <v>2475</v>
      </c>
      <c r="G11" s="239">
        <v>2571260</v>
      </c>
      <c r="H11" s="240" t="s">
        <v>277</v>
      </c>
      <c r="I11" s="241">
        <v>1</v>
      </c>
      <c r="J11" s="240" t="s">
        <v>109</v>
      </c>
      <c r="K11" s="242">
        <v>1</v>
      </c>
      <c r="L11" s="243"/>
      <c r="M11" s="244"/>
      <c r="N11" s="240"/>
      <c r="O11" s="244" t="s">
        <v>283</v>
      </c>
      <c r="P11" s="1570">
        <f t="shared" ref="P11:P19" si="0">ROUNDUP(G11*I11*K11,-3)</f>
        <v>2572000</v>
      </c>
      <c r="Q11" s="101"/>
      <c r="R11" s="101"/>
      <c r="S11" s="101"/>
      <c r="T11" s="102"/>
      <c r="W11" s="236"/>
      <c r="X11" s="236"/>
    </row>
    <row r="12" spans="1:24" ht="15" customHeight="1">
      <c r="A12" s="224"/>
      <c r="B12" s="225"/>
      <c r="C12" s="226"/>
      <c r="D12" s="225"/>
      <c r="E12" s="226"/>
      <c r="F12" s="998" t="s">
        <v>2467</v>
      </c>
      <c r="G12" s="239">
        <v>2624660</v>
      </c>
      <c r="H12" s="240" t="s">
        <v>282</v>
      </c>
      <c r="I12" s="241">
        <v>1</v>
      </c>
      <c r="J12" s="240" t="s">
        <v>109</v>
      </c>
      <c r="K12" s="242">
        <v>11</v>
      </c>
      <c r="L12" s="243"/>
      <c r="M12" s="244"/>
      <c r="N12" s="240"/>
      <c r="O12" s="244" t="s">
        <v>283</v>
      </c>
      <c r="P12" s="1570">
        <f t="shared" si="0"/>
        <v>28872000</v>
      </c>
      <c r="Q12" s="101"/>
      <c r="R12" s="101"/>
      <c r="S12" s="101"/>
      <c r="T12" s="102"/>
      <c r="V12" s="236"/>
      <c r="W12" s="236"/>
      <c r="X12" s="236"/>
    </row>
    <row r="13" spans="1:24" ht="15" customHeight="1">
      <c r="A13" s="224"/>
      <c r="B13" s="225"/>
      <c r="C13" s="226"/>
      <c r="D13" s="225"/>
      <c r="E13" s="226"/>
      <c r="F13" s="1653" t="s">
        <v>2468</v>
      </c>
      <c r="G13" s="239">
        <v>1996530</v>
      </c>
      <c r="H13" s="240" t="s">
        <v>282</v>
      </c>
      <c r="I13" s="241">
        <v>1</v>
      </c>
      <c r="J13" s="240" t="s">
        <v>109</v>
      </c>
      <c r="K13" s="242">
        <v>8</v>
      </c>
      <c r="L13" s="243"/>
      <c r="M13" s="244"/>
      <c r="N13" s="240"/>
      <c r="O13" s="244" t="s">
        <v>283</v>
      </c>
      <c r="P13" s="1570">
        <f t="shared" si="0"/>
        <v>15973000</v>
      </c>
      <c r="Q13" s="101"/>
      <c r="R13" s="101"/>
      <c r="S13" s="101"/>
      <c r="T13" s="102"/>
      <c r="W13" s="236"/>
      <c r="X13" s="236"/>
    </row>
    <row r="14" spans="1:24" ht="15" customHeight="1">
      <c r="A14" s="224"/>
      <c r="B14" s="225"/>
      <c r="C14" s="226"/>
      <c r="D14" s="225"/>
      <c r="E14" s="226"/>
      <c r="F14" s="1653" t="s">
        <v>2469</v>
      </c>
      <c r="G14" s="239">
        <v>2048520</v>
      </c>
      <c r="H14" s="240" t="s">
        <v>282</v>
      </c>
      <c r="I14" s="241">
        <v>1</v>
      </c>
      <c r="J14" s="240" t="s">
        <v>109</v>
      </c>
      <c r="K14" s="242">
        <v>4</v>
      </c>
      <c r="L14" s="243"/>
      <c r="M14" s="244"/>
      <c r="N14" s="240"/>
      <c r="O14" s="244" t="s">
        <v>283</v>
      </c>
      <c r="P14" s="1570">
        <f t="shared" si="0"/>
        <v>8195000</v>
      </c>
      <c r="Q14" s="101"/>
      <c r="R14" s="101"/>
      <c r="S14" s="101"/>
      <c r="T14" s="102"/>
    </row>
    <row r="15" spans="1:24" ht="15" customHeight="1">
      <c r="A15" s="224"/>
      <c r="B15" s="225"/>
      <c r="C15" s="226"/>
      <c r="D15" s="225"/>
      <c r="E15" s="226"/>
      <c r="F15" s="1653" t="s">
        <v>2470</v>
      </c>
      <c r="G15" s="239">
        <v>1996530</v>
      </c>
      <c r="H15" s="240" t="s">
        <v>282</v>
      </c>
      <c r="I15" s="241">
        <v>1</v>
      </c>
      <c r="J15" s="240" t="s">
        <v>109</v>
      </c>
      <c r="K15" s="242">
        <v>10</v>
      </c>
      <c r="L15" s="243"/>
      <c r="M15" s="244"/>
      <c r="N15" s="240"/>
      <c r="O15" s="244" t="s">
        <v>283</v>
      </c>
      <c r="P15" s="1570">
        <f t="shared" si="0"/>
        <v>19966000</v>
      </c>
      <c r="Q15" s="101"/>
      <c r="R15" s="101"/>
      <c r="S15" s="101"/>
      <c r="T15" s="102"/>
    </row>
    <row r="16" spans="1:24" ht="15" customHeight="1">
      <c r="A16" s="224"/>
      <c r="B16" s="225"/>
      <c r="C16" s="226"/>
      <c r="D16" s="225"/>
      <c r="E16" s="237"/>
      <c r="F16" s="1653" t="s">
        <v>2471</v>
      </c>
      <c r="G16" s="239">
        <v>2048520</v>
      </c>
      <c r="H16" s="240" t="s">
        <v>282</v>
      </c>
      <c r="I16" s="241">
        <v>1</v>
      </c>
      <c r="J16" s="240" t="s">
        <v>273</v>
      </c>
      <c r="K16" s="242">
        <v>2</v>
      </c>
      <c r="L16" s="243"/>
      <c r="M16" s="244"/>
      <c r="N16" s="240"/>
      <c r="O16" s="244" t="s">
        <v>283</v>
      </c>
      <c r="P16" s="1570">
        <f t="shared" si="0"/>
        <v>4098000</v>
      </c>
      <c r="Q16" s="235"/>
      <c r="R16" s="997"/>
      <c r="S16" s="235"/>
      <c r="T16" s="246"/>
    </row>
    <row r="17" spans="1:23" ht="15" customHeight="1">
      <c r="A17" s="224"/>
      <c r="B17" s="225"/>
      <c r="C17" s="226"/>
      <c r="D17" s="225"/>
      <c r="E17" s="247"/>
      <c r="F17" s="1653" t="s">
        <v>2472</v>
      </c>
      <c r="G17" s="239">
        <v>1204640</v>
      </c>
      <c r="H17" s="240" t="s">
        <v>1471</v>
      </c>
      <c r="I17" s="241">
        <v>1</v>
      </c>
      <c r="J17" s="240" t="s">
        <v>1471</v>
      </c>
      <c r="K17" s="242">
        <v>12</v>
      </c>
      <c r="L17" s="243"/>
      <c r="M17" s="244"/>
      <c r="N17" s="240"/>
      <c r="O17" s="1692" t="str">
        <f>O16</f>
        <v>=</v>
      </c>
      <c r="P17" s="1570">
        <f t="shared" si="0"/>
        <v>14456000</v>
      </c>
      <c r="Q17" s="235"/>
      <c r="R17" s="997"/>
      <c r="S17" s="235"/>
      <c r="T17" s="246"/>
    </row>
    <row r="18" spans="1:23" ht="15" customHeight="1">
      <c r="A18" s="224"/>
      <c r="B18" s="225"/>
      <c r="C18" s="226"/>
      <c r="D18" s="225"/>
      <c r="E18" s="247"/>
      <c r="F18" s="1653" t="s">
        <v>2473</v>
      </c>
      <c r="G18" s="239">
        <v>1600410</v>
      </c>
      <c r="H18" s="240" t="s">
        <v>273</v>
      </c>
      <c r="I18" s="241">
        <v>1</v>
      </c>
      <c r="J18" s="240" t="s">
        <v>109</v>
      </c>
      <c r="K18" s="242">
        <v>10</v>
      </c>
      <c r="L18" s="243"/>
      <c r="M18" s="244"/>
      <c r="N18" s="240"/>
      <c r="O18" s="244" t="s">
        <v>283</v>
      </c>
      <c r="P18" s="1570">
        <f t="shared" si="0"/>
        <v>16005000</v>
      </c>
      <c r="Q18" s="235"/>
      <c r="R18" s="997"/>
      <c r="S18" s="235"/>
      <c r="T18" s="246"/>
    </row>
    <row r="19" spans="1:23" ht="15" customHeight="1">
      <c r="A19" s="224"/>
      <c r="B19" s="225"/>
      <c r="C19" s="226"/>
      <c r="D19" s="225"/>
      <c r="E19" s="247"/>
      <c r="F19" s="1653" t="s">
        <v>2474</v>
      </c>
      <c r="G19" s="239">
        <v>1638180</v>
      </c>
      <c r="H19" s="240" t="s">
        <v>273</v>
      </c>
      <c r="I19" s="241">
        <v>1</v>
      </c>
      <c r="J19" s="240" t="s">
        <v>109</v>
      </c>
      <c r="K19" s="242">
        <v>2</v>
      </c>
      <c r="L19" s="243"/>
      <c r="M19" s="244"/>
      <c r="N19" s="240"/>
      <c r="O19" s="244" t="s">
        <v>283</v>
      </c>
      <c r="P19" s="1570">
        <f t="shared" si="0"/>
        <v>3277000</v>
      </c>
      <c r="Q19" s="235"/>
      <c r="R19" s="997"/>
      <c r="S19" s="235"/>
      <c r="T19" s="246"/>
    </row>
    <row r="20" spans="1:23" ht="15" customHeight="1">
      <c r="A20" s="224"/>
      <c r="B20" s="225"/>
      <c r="C20" s="226"/>
      <c r="D20" s="225"/>
      <c r="E20" s="66" t="s">
        <v>640</v>
      </c>
      <c r="F20" s="227"/>
      <c r="G20" s="228"/>
      <c r="H20" s="66"/>
      <c r="I20" s="66"/>
      <c r="J20" s="66"/>
      <c r="K20" s="66"/>
      <c r="L20" s="229"/>
      <c r="M20" s="66"/>
      <c r="N20" s="230"/>
      <c r="O20" s="230"/>
      <c r="P20" s="66"/>
      <c r="Q20" s="171">
        <f>ROUNDUP(SUM(P21,P26,P29,P31,P41,P44,P49,P56,P65,P75,P78),-3)</f>
        <v>94235000</v>
      </c>
      <c r="R20" s="171">
        <v>76555860</v>
      </c>
      <c r="S20" s="171">
        <f>Q20-R20</f>
        <v>17679140</v>
      </c>
      <c r="T20" s="172">
        <f>S20/R20</f>
        <v>0.23093124419214936</v>
      </c>
    </row>
    <row r="21" spans="1:23" ht="15" customHeight="1">
      <c r="A21" s="224"/>
      <c r="B21" s="225"/>
      <c r="C21" s="226"/>
      <c r="D21" s="225"/>
      <c r="E21" s="237"/>
      <c r="F21" s="250" t="s">
        <v>1926</v>
      </c>
      <c r="G21" s="249"/>
      <c r="H21" s="240"/>
      <c r="I21" s="240"/>
      <c r="J21" s="240"/>
      <c r="K21" s="240"/>
      <c r="L21" s="250"/>
      <c r="M21" s="244"/>
      <c r="N21" s="240"/>
      <c r="O21" s="244"/>
      <c r="P21" s="234">
        <f>SUM(P22:P25)</f>
        <v>8880000</v>
      </c>
      <c r="Q21" s="235"/>
      <c r="R21" s="997"/>
      <c r="S21" s="235"/>
      <c r="T21" s="246"/>
      <c r="U21" s="1031"/>
      <c r="V21" s="236"/>
    </row>
    <row r="22" spans="1:23" ht="15" customHeight="1">
      <c r="A22" s="224"/>
      <c r="B22" s="225"/>
      <c r="C22" s="226"/>
      <c r="D22" s="225"/>
      <c r="E22" s="247"/>
      <c r="F22" s="998" t="s">
        <v>2467</v>
      </c>
      <c r="G22" s="252">
        <v>200000</v>
      </c>
      <c r="H22" s="240" t="s">
        <v>277</v>
      </c>
      <c r="I22" s="241">
        <v>1</v>
      </c>
      <c r="J22" s="240" t="s">
        <v>109</v>
      </c>
      <c r="K22" s="242">
        <v>12</v>
      </c>
      <c r="L22" s="243"/>
      <c r="M22" s="244"/>
      <c r="N22" s="240"/>
      <c r="O22" s="244" t="s">
        <v>274</v>
      </c>
      <c r="P22" s="1570">
        <f>ROUNDUP(G22*I22*K22,-3)</f>
        <v>2400000</v>
      </c>
      <c r="Q22" s="235"/>
      <c r="R22" s="997"/>
      <c r="S22" s="235"/>
      <c r="T22" s="246"/>
      <c r="W22" s="275"/>
    </row>
    <row r="23" spans="1:23" ht="15" customHeight="1">
      <c r="A23" s="224"/>
      <c r="B23" s="225"/>
      <c r="C23" s="226"/>
      <c r="D23" s="225"/>
      <c r="E23" s="226"/>
      <c r="F23" s="1653" t="s">
        <v>2476</v>
      </c>
      <c r="G23" s="252">
        <v>140000</v>
      </c>
      <c r="H23" s="240" t="s">
        <v>273</v>
      </c>
      <c r="I23" s="241">
        <v>2</v>
      </c>
      <c r="J23" s="240" t="s">
        <v>109</v>
      </c>
      <c r="K23" s="242">
        <v>12</v>
      </c>
      <c r="L23" s="243"/>
      <c r="M23" s="244"/>
      <c r="N23" s="240"/>
      <c r="O23" s="1693" t="s">
        <v>281</v>
      </c>
      <c r="P23" s="1570">
        <f>ROUNDUP(G23*I23*K23,-3)</f>
        <v>3360000</v>
      </c>
      <c r="Q23" s="235"/>
      <c r="R23" s="997"/>
      <c r="S23" s="235"/>
      <c r="T23" s="246"/>
      <c r="U23" s="1031"/>
    </row>
    <row r="24" spans="1:23" ht="15" customHeight="1">
      <c r="A24" s="224"/>
      <c r="B24" s="225"/>
      <c r="C24" s="226"/>
      <c r="D24" s="225"/>
      <c r="E24" s="226"/>
      <c r="F24" s="1653" t="s">
        <v>2477</v>
      </c>
      <c r="G24" s="252">
        <v>140000</v>
      </c>
      <c r="H24" s="240" t="s">
        <v>1470</v>
      </c>
      <c r="I24" s="241">
        <v>1</v>
      </c>
      <c r="J24" s="240"/>
      <c r="K24" s="242">
        <v>12</v>
      </c>
      <c r="L24" s="243"/>
      <c r="M24" s="244"/>
      <c r="N24" s="240"/>
      <c r="O24" s="1694" t="s">
        <v>283</v>
      </c>
      <c r="P24" s="1570">
        <f>ROUNDUP(G24*I24*K24,-3)</f>
        <v>1680000</v>
      </c>
      <c r="Q24" s="235"/>
      <c r="R24" s="997"/>
      <c r="S24" s="235"/>
      <c r="T24" s="246"/>
    </row>
    <row r="25" spans="1:23" ht="15" customHeight="1">
      <c r="A25" s="224"/>
      <c r="B25" s="225"/>
      <c r="C25" s="226"/>
      <c r="D25" s="225"/>
      <c r="E25" s="226"/>
      <c r="F25" s="1653" t="s">
        <v>2478</v>
      </c>
      <c r="G25" s="252">
        <v>120000</v>
      </c>
      <c r="H25" s="240" t="s">
        <v>277</v>
      </c>
      <c r="I25" s="241">
        <v>1</v>
      </c>
      <c r="J25" s="240" t="s">
        <v>109</v>
      </c>
      <c r="K25" s="242">
        <v>12</v>
      </c>
      <c r="L25" s="243"/>
      <c r="M25" s="244"/>
      <c r="N25" s="240"/>
      <c r="O25" s="244" t="s">
        <v>283</v>
      </c>
      <c r="P25" s="1570">
        <f>ROUNDUP(G25*I25*K25,-3)</f>
        <v>1440000</v>
      </c>
      <c r="Q25" s="235"/>
      <c r="R25" s="997"/>
      <c r="S25" s="235"/>
      <c r="T25" s="246"/>
      <c r="U25" s="1031"/>
    </row>
    <row r="26" spans="1:23" ht="15" customHeight="1">
      <c r="A26" s="224"/>
      <c r="B26" s="225"/>
      <c r="C26" s="226"/>
      <c r="D26" s="225"/>
      <c r="E26" s="226"/>
      <c r="F26" s="250" t="s">
        <v>642</v>
      </c>
      <c r="G26" s="249"/>
      <c r="H26" s="240"/>
      <c r="I26" s="240"/>
      <c r="J26" s="240"/>
      <c r="K26" s="240"/>
      <c r="L26" s="250"/>
      <c r="M26" s="244"/>
      <c r="N26" s="240"/>
      <c r="O26" s="244"/>
      <c r="P26" s="234">
        <f>SUM(P27:P28)</f>
        <v>2640000</v>
      </c>
      <c r="Q26" s="235"/>
      <c r="R26" s="997"/>
      <c r="S26" s="235"/>
      <c r="T26" s="246"/>
    </row>
    <row r="27" spans="1:23" ht="15" customHeight="1">
      <c r="A27" s="224"/>
      <c r="B27" s="225"/>
      <c r="C27" s="226"/>
      <c r="D27" s="225"/>
      <c r="E27" s="226"/>
      <c r="F27" s="1653" t="s">
        <v>2479</v>
      </c>
      <c r="G27" s="249">
        <v>80000</v>
      </c>
      <c r="H27" s="240" t="s">
        <v>277</v>
      </c>
      <c r="I27" s="241">
        <v>2</v>
      </c>
      <c r="J27" s="240" t="s">
        <v>109</v>
      </c>
      <c r="K27" s="242">
        <v>12</v>
      </c>
      <c r="L27" s="250"/>
      <c r="M27" s="244"/>
      <c r="N27" s="240"/>
      <c r="O27" s="244" t="s">
        <v>274</v>
      </c>
      <c r="P27" s="1695">
        <f>G27*I27*K27</f>
        <v>1920000</v>
      </c>
      <c r="Q27" s="235"/>
      <c r="R27" s="997"/>
      <c r="S27" s="235"/>
      <c r="T27" s="246"/>
    </row>
    <row r="28" spans="1:23" ht="15" customHeight="1">
      <c r="A28" s="224"/>
      <c r="B28" s="225"/>
      <c r="C28" s="226"/>
      <c r="D28" s="225"/>
      <c r="E28" s="226"/>
      <c r="F28" s="1653" t="s">
        <v>2480</v>
      </c>
      <c r="G28" s="249">
        <v>60000</v>
      </c>
      <c r="H28" s="240" t="s">
        <v>277</v>
      </c>
      <c r="I28" s="241">
        <v>1</v>
      </c>
      <c r="J28" s="240" t="s">
        <v>109</v>
      </c>
      <c r="K28" s="242">
        <v>12</v>
      </c>
      <c r="L28" s="250"/>
      <c r="M28" s="244"/>
      <c r="N28" s="240"/>
      <c r="O28" s="244" t="s">
        <v>283</v>
      </c>
      <c r="P28" s="1695">
        <f>G28*I28*K28</f>
        <v>720000</v>
      </c>
      <c r="Q28" s="235"/>
      <c r="R28" s="997"/>
      <c r="S28" s="235"/>
      <c r="T28" s="246"/>
    </row>
    <row r="29" spans="1:23" ht="15" customHeight="1">
      <c r="A29" s="224"/>
      <c r="B29" s="225"/>
      <c r="C29" s="226"/>
      <c r="D29" s="225"/>
      <c r="E29" s="226"/>
      <c r="F29" s="250" t="s">
        <v>2458</v>
      </c>
      <c r="G29" s="249"/>
      <c r="H29" s="240"/>
      <c r="I29" s="241"/>
      <c r="J29" s="240"/>
      <c r="K29" s="242"/>
      <c r="L29" s="250"/>
      <c r="M29" s="244"/>
      <c r="N29" s="240"/>
      <c r="O29" s="244"/>
      <c r="P29" s="234">
        <f>SUM(P30)</f>
        <v>7800000</v>
      </c>
      <c r="Q29" s="235"/>
      <c r="R29" s="997"/>
      <c r="S29" s="235"/>
      <c r="T29" s="246"/>
    </row>
    <row r="30" spans="1:23" ht="15" customHeight="1">
      <c r="A30" s="224"/>
      <c r="B30" s="225"/>
      <c r="C30" s="226"/>
      <c r="D30" s="225"/>
      <c r="E30" s="226"/>
      <c r="F30" s="1653" t="s">
        <v>2482</v>
      </c>
      <c r="G30" s="249">
        <v>130000</v>
      </c>
      <c r="H30" s="240" t="s">
        <v>282</v>
      </c>
      <c r="I30" s="241">
        <v>5</v>
      </c>
      <c r="J30" s="240" t="s">
        <v>109</v>
      </c>
      <c r="K30" s="242">
        <v>12</v>
      </c>
      <c r="L30" s="250"/>
      <c r="M30" s="244"/>
      <c r="N30" s="240"/>
      <c r="O30" s="244" t="s">
        <v>281</v>
      </c>
      <c r="P30" s="1695">
        <f>G30*I30*K30</f>
        <v>7800000</v>
      </c>
      <c r="Q30" s="235"/>
      <c r="R30" s="997"/>
      <c r="S30" s="235"/>
      <c r="T30" s="246"/>
    </row>
    <row r="31" spans="1:23" ht="15" customHeight="1">
      <c r="A31" s="224"/>
      <c r="B31" s="225"/>
      <c r="C31" s="226"/>
      <c r="D31" s="225"/>
      <c r="E31" s="226"/>
      <c r="F31" s="250" t="s">
        <v>370</v>
      </c>
      <c r="G31" s="249"/>
      <c r="H31" s="240"/>
      <c r="I31" s="240"/>
      <c r="J31" s="240"/>
      <c r="K31" s="240"/>
      <c r="L31" s="250"/>
      <c r="M31" s="244"/>
      <c r="N31" s="240"/>
      <c r="O31" s="244"/>
      <c r="P31" s="234">
        <f>SUM(P32:P40)</f>
        <v>1360000</v>
      </c>
      <c r="Q31" s="235"/>
      <c r="R31" s="997"/>
      <c r="S31" s="235"/>
      <c r="T31" s="246"/>
    </row>
    <row r="32" spans="1:23" ht="15" customHeight="1">
      <c r="A32" s="224"/>
      <c r="B32" s="225"/>
      <c r="C32" s="226"/>
      <c r="D32" s="225"/>
      <c r="E32" s="226"/>
      <c r="F32" s="998" t="s">
        <v>2481</v>
      </c>
      <c r="G32" s="239">
        <v>21899</v>
      </c>
      <c r="H32" s="240" t="s">
        <v>277</v>
      </c>
      <c r="I32" s="1696">
        <v>1</v>
      </c>
      <c r="J32" s="240" t="s">
        <v>109</v>
      </c>
      <c r="K32" s="242">
        <v>1</v>
      </c>
      <c r="L32" s="243"/>
      <c r="M32" s="244"/>
      <c r="N32" s="240"/>
      <c r="O32" s="244" t="s">
        <v>283</v>
      </c>
      <c r="P32" s="1570">
        <f t="shared" ref="P32:P40" si="1">ROUNDDOWN(G32*I32*K32,-3)</f>
        <v>21000</v>
      </c>
      <c r="Q32" s="235"/>
      <c r="R32" s="997"/>
      <c r="S32" s="235"/>
      <c r="T32" s="246"/>
    </row>
    <row r="33" spans="1:20" ht="15" customHeight="1">
      <c r="A33" s="224"/>
      <c r="B33" s="225"/>
      <c r="C33" s="226"/>
      <c r="D33" s="225"/>
      <c r="E33" s="226"/>
      <c r="F33" s="998" t="s">
        <v>2467</v>
      </c>
      <c r="G33" s="239">
        <v>22282</v>
      </c>
      <c r="H33" s="240" t="s">
        <v>277</v>
      </c>
      <c r="I33" s="1696">
        <v>1</v>
      </c>
      <c r="J33" s="240" t="s">
        <v>109</v>
      </c>
      <c r="K33" s="242">
        <v>11</v>
      </c>
      <c r="L33" s="243"/>
      <c r="M33" s="244"/>
      <c r="N33" s="240"/>
      <c r="O33" s="244" t="s">
        <v>283</v>
      </c>
      <c r="P33" s="1570">
        <f t="shared" si="1"/>
        <v>245000</v>
      </c>
      <c r="Q33" s="235"/>
      <c r="R33" s="997"/>
      <c r="S33" s="235"/>
      <c r="T33" s="246"/>
    </row>
    <row r="34" spans="1:20" ht="15" customHeight="1">
      <c r="A34" s="224"/>
      <c r="B34" s="225"/>
      <c r="C34" s="226"/>
      <c r="D34" s="225"/>
      <c r="E34" s="226"/>
      <c r="F34" s="1653" t="s">
        <v>2476</v>
      </c>
      <c r="G34" s="239">
        <v>17344</v>
      </c>
      <c r="H34" s="240" t="s">
        <v>277</v>
      </c>
      <c r="I34" s="1697">
        <v>1.5</v>
      </c>
      <c r="J34" s="240" t="s">
        <v>109</v>
      </c>
      <c r="K34" s="242">
        <v>8</v>
      </c>
      <c r="L34" s="243"/>
      <c r="M34" s="244"/>
      <c r="N34" s="240"/>
      <c r="O34" s="244" t="s">
        <v>283</v>
      </c>
      <c r="P34" s="1570">
        <f t="shared" si="1"/>
        <v>208000</v>
      </c>
      <c r="Q34" s="235"/>
      <c r="R34" s="997"/>
      <c r="S34" s="235"/>
      <c r="T34" s="246"/>
    </row>
    <row r="35" spans="1:20" ht="15" customHeight="1">
      <c r="A35" s="224"/>
      <c r="B35" s="225"/>
      <c r="C35" s="226"/>
      <c r="D35" s="225"/>
      <c r="E35" s="226"/>
      <c r="F35" s="1653" t="s">
        <v>2476</v>
      </c>
      <c r="G35" s="239">
        <v>17717</v>
      </c>
      <c r="H35" s="240" t="s">
        <v>282</v>
      </c>
      <c r="I35" s="1697">
        <v>1.5</v>
      </c>
      <c r="J35" s="240" t="s">
        <v>109</v>
      </c>
      <c r="K35" s="242">
        <v>4</v>
      </c>
      <c r="L35" s="243"/>
      <c r="M35" s="244"/>
      <c r="N35" s="240"/>
      <c r="O35" s="244" t="s">
        <v>283</v>
      </c>
      <c r="P35" s="1698">
        <f t="shared" si="1"/>
        <v>106000</v>
      </c>
      <c r="Q35" s="235"/>
      <c r="R35" s="997"/>
      <c r="S35" s="235"/>
      <c r="T35" s="246"/>
    </row>
    <row r="36" spans="1:20" ht="15" customHeight="1">
      <c r="A36" s="224"/>
      <c r="B36" s="225"/>
      <c r="C36" s="226"/>
      <c r="D36" s="225"/>
      <c r="E36" s="226"/>
      <c r="F36" s="1653" t="s">
        <v>2476</v>
      </c>
      <c r="G36" s="239">
        <v>17344</v>
      </c>
      <c r="H36" s="240" t="s">
        <v>277</v>
      </c>
      <c r="I36" s="1697">
        <v>1.5</v>
      </c>
      <c r="J36" s="240" t="s">
        <v>109</v>
      </c>
      <c r="K36" s="242">
        <v>10</v>
      </c>
      <c r="L36" s="243"/>
      <c r="M36" s="244"/>
      <c r="N36" s="240"/>
      <c r="O36" s="244" t="s">
        <v>274</v>
      </c>
      <c r="P36" s="1570">
        <f t="shared" si="1"/>
        <v>260000</v>
      </c>
      <c r="Q36" s="235"/>
      <c r="R36" s="997"/>
      <c r="S36" s="235"/>
      <c r="T36" s="246"/>
    </row>
    <row r="37" spans="1:20" ht="15" customHeight="1">
      <c r="A37" s="576"/>
      <c r="B37" s="278"/>
      <c r="C37" s="279"/>
      <c r="D37" s="278"/>
      <c r="E37" s="279"/>
      <c r="F37" s="1658" t="s">
        <v>2476</v>
      </c>
      <c r="G37" s="1699">
        <v>17717</v>
      </c>
      <c r="H37" s="283" t="s">
        <v>277</v>
      </c>
      <c r="I37" s="1700">
        <v>1.5</v>
      </c>
      <c r="J37" s="283" t="s">
        <v>277</v>
      </c>
      <c r="K37" s="284">
        <v>2</v>
      </c>
      <c r="L37" s="1402"/>
      <c r="M37" s="285"/>
      <c r="N37" s="283"/>
      <c r="O37" s="285" t="s">
        <v>283</v>
      </c>
      <c r="P37" s="1585">
        <f t="shared" si="1"/>
        <v>53000</v>
      </c>
      <c r="Q37" s="287"/>
      <c r="R37" s="1027"/>
      <c r="S37" s="287"/>
      <c r="T37" s="288"/>
    </row>
    <row r="38" spans="1:20" ht="15" customHeight="1">
      <c r="A38" s="224"/>
      <c r="B38" s="225"/>
      <c r="C38" s="226"/>
      <c r="D38" s="225"/>
      <c r="E38" s="226"/>
      <c r="F38" s="1653" t="s">
        <v>2472</v>
      </c>
      <c r="G38" s="239">
        <v>11660</v>
      </c>
      <c r="H38" s="240"/>
      <c r="I38" s="1697">
        <v>1.5</v>
      </c>
      <c r="J38" s="240" t="s">
        <v>282</v>
      </c>
      <c r="K38" s="242">
        <v>12</v>
      </c>
      <c r="L38" s="243"/>
      <c r="M38" s="244"/>
      <c r="N38" s="240"/>
      <c r="O38" s="244" t="s">
        <v>283</v>
      </c>
      <c r="P38" s="1570">
        <f t="shared" si="1"/>
        <v>209000</v>
      </c>
      <c r="Q38" s="235"/>
      <c r="R38" s="997"/>
      <c r="S38" s="235"/>
      <c r="T38" s="246"/>
    </row>
    <row r="39" spans="1:20" ht="15" customHeight="1">
      <c r="A39" s="224"/>
      <c r="B39" s="225"/>
      <c r="C39" s="226"/>
      <c r="D39" s="225"/>
      <c r="E39" s="226"/>
      <c r="F39" s="1653" t="s">
        <v>2478</v>
      </c>
      <c r="G39" s="239">
        <v>14357</v>
      </c>
      <c r="H39" s="240" t="s">
        <v>277</v>
      </c>
      <c r="I39" s="1697">
        <v>1.5</v>
      </c>
      <c r="J39" s="240" t="s">
        <v>109</v>
      </c>
      <c r="K39" s="242">
        <v>10</v>
      </c>
      <c r="L39" s="243"/>
      <c r="M39" s="244"/>
      <c r="N39" s="240"/>
      <c r="O39" s="244" t="s">
        <v>283</v>
      </c>
      <c r="P39" s="1570">
        <f t="shared" si="1"/>
        <v>215000</v>
      </c>
      <c r="Q39" s="235"/>
      <c r="R39" s="997"/>
      <c r="S39" s="235"/>
      <c r="T39" s="246"/>
    </row>
    <row r="40" spans="1:20" ht="15" customHeight="1">
      <c r="A40" s="224"/>
      <c r="B40" s="225"/>
      <c r="C40" s="226"/>
      <c r="D40" s="225"/>
      <c r="E40" s="226"/>
      <c r="F40" s="1653" t="s">
        <v>2478</v>
      </c>
      <c r="G40" s="239">
        <v>14627</v>
      </c>
      <c r="H40" s="240" t="s">
        <v>277</v>
      </c>
      <c r="I40" s="1697">
        <v>1.5</v>
      </c>
      <c r="J40" s="240" t="s">
        <v>109</v>
      </c>
      <c r="K40" s="242">
        <v>2</v>
      </c>
      <c r="L40" s="243"/>
      <c r="M40" s="244"/>
      <c r="N40" s="240"/>
      <c r="O40" s="244" t="s">
        <v>274</v>
      </c>
      <c r="P40" s="1570">
        <f t="shared" si="1"/>
        <v>43000</v>
      </c>
      <c r="Q40" s="235"/>
      <c r="R40" s="997"/>
      <c r="S40" s="235"/>
      <c r="T40" s="246"/>
    </row>
    <row r="41" spans="1:20" ht="15" customHeight="1">
      <c r="A41" s="224"/>
      <c r="B41" s="225"/>
      <c r="C41" s="226"/>
      <c r="D41" s="225"/>
      <c r="E41" s="226"/>
      <c r="F41" s="250" t="s">
        <v>2459</v>
      </c>
      <c r="G41" s="249"/>
      <c r="H41" s="240"/>
      <c r="I41" s="240"/>
      <c r="J41" s="240"/>
      <c r="K41" s="240"/>
      <c r="L41" s="250"/>
      <c r="M41" s="244"/>
      <c r="N41" s="240"/>
      <c r="O41" s="244"/>
      <c r="P41" s="234">
        <f>SUM(P42:P43)</f>
        <v>2760000</v>
      </c>
      <c r="Q41" s="235"/>
      <c r="R41" s="997"/>
      <c r="S41" s="235"/>
      <c r="T41" s="246"/>
    </row>
    <row r="42" spans="1:20" ht="15" customHeight="1">
      <c r="A42" s="224"/>
      <c r="B42" s="225"/>
      <c r="C42" s="226"/>
      <c r="D42" s="225"/>
      <c r="E42" s="226"/>
      <c r="F42" s="998" t="s">
        <v>2483</v>
      </c>
      <c r="G42" s="239">
        <v>60000</v>
      </c>
      <c r="H42" s="240" t="s">
        <v>277</v>
      </c>
      <c r="I42" s="241">
        <v>3</v>
      </c>
      <c r="J42" s="240" t="s">
        <v>109</v>
      </c>
      <c r="K42" s="242">
        <v>12</v>
      </c>
      <c r="L42" s="250"/>
      <c r="M42" s="244"/>
      <c r="N42" s="240"/>
      <c r="O42" s="244" t="s">
        <v>274</v>
      </c>
      <c r="P42" s="1570">
        <f>ROUNDUP(G42*I42*K42,-3)</f>
        <v>2160000</v>
      </c>
      <c r="Q42" s="235"/>
      <c r="R42" s="997"/>
      <c r="S42" s="235"/>
      <c r="T42" s="246"/>
    </row>
    <row r="43" spans="1:20" ht="15" customHeight="1">
      <c r="A43" s="224"/>
      <c r="B43" s="225"/>
      <c r="C43" s="226"/>
      <c r="D43" s="225"/>
      <c r="E43" s="226"/>
      <c r="F43" s="1653" t="s">
        <v>2478</v>
      </c>
      <c r="G43" s="249">
        <v>50000</v>
      </c>
      <c r="H43" s="240" t="s">
        <v>277</v>
      </c>
      <c r="I43" s="241">
        <v>1</v>
      </c>
      <c r="J43" s="240" t="s">
        <v>109</v>
      </c>
      <c r="K43" s="242">
        <v>12</v>
      </c>
      <c r="L43" s="250"/>
      <c r="M43" s="244"/>
      <c r="N43" s="240"/>
      <c r="O43" s="244" t="s">
        <v>283</v>
      </c>
      <c r="P43" s="1570">
        <f>ROUNDUP(G43*I43*K43,-3)</f>
        <v>600000</v>
      </c>
      <c r="Q43" s="235"/>
      <c r="R43" s="997"/>
      <c r="S43" s="235"/>
      <c r="T43" s="246"/>
    </row>
    <row r="44" spans="1:20" ht="15" customHeight="1">
      <c r="A44" s="224"/>
      <c r="B44" s="225"/>
      <c r="C44" s="226"/>
      <c r="D44" s="225"/>
      <c r="E44" s="226"/>
      <c r="F44" s="250" t="s">
        <v>371</v>
      </c>
      <c r="G44" s="249"/>
      <c r="H44" s="240"/>
      <c r="I44" s="240"/>
      <c r="J44" s="240"/>
      <c r="K44" s="240"/>
      <c r="L44" s="250"/>
      <c r="M44" s="244"/>
      <c r="N44" s="240"/>
      <c r="O44" s="244"/>
      <c r="P44" s="234">
        <f>SUM(P45:P48)</f>
        <v>7900000</v>
      </c>
      <c r="Q44" s="235"/>
      <c r="R44" s="997"/>
      <c r="S44" s="235"/>
      <c r="T44" s="246"/>
    </row>
    <row r="45" spans="1:20" ht="15" customHeight="1">
      <c r="A45" s="224"/>
      <c r="B45" s="225"/>
      <c r="C45" s="226"/>
      <c r="D45" s="225"/>
      <c r="E45" s="226"/>
      <c r="F45" s="998" t="s">
        <v>2481</v>
      </c>
      <c r="G45" s="252">
        <v>2624660</v>
      </c>
      <c r="H45" s="240" t="s">
        <v>277</v>
      </c>
      <c r="I45" s="1033">
        <v>1</v>
      </c>
      <c r="J45" s="240"/>
      <c r="K45" s="240"/>
      <c r="L45" s="250"/>
      <c r="M45" s="244"/>
      <c r="N45" s="240"/>
      <c r="O45" s="244" t="s">
        <v>283</v>
      </c>
      <c r="P45" s="232">
        <f>ROUNDUP(G45*I45,-3)</f>
        <v>2625000</v>
      </c>
      <c r="Q45" s="235"/>
      <c r="R45" s="997"/>
      <c r="S45" s="235"/>
      <c r="T45" s="246"/>
    </row>
    <row r="46" spans="1:20" ht="15" customHeight="1">
      <c r="A46" s="224"/>
      <c r="B46" s="225"/>
      <c r="C46" s="226"/>
      <c r="D46" s="225"/>
      <c r="E46" s="226"/>
      <c r="F46" s="1653" t="s">
        <v>2476</v>
      </c>
      <c r="G46" s="252">
        <v>1996530</v>
      </c>
      <c r="H46" s="240" t="s">
        <v>277</v>
      </c>
      <c r="I46" s="1033">
        <v>1</v>
      </c>
      <c r="J46" s="240"/>
      <c r="K46" s="240"/>
      <c r="L46" s="250"/>
      <c r="M46" s="244"/>
      <c r="N46" s="240"/>
      <c r="O46" s="244" t="s">
        <v>283</v>
      </c>
      <c r="P46" s="232">
        <f>ROUNDUP(G46*I46,-3)</f>
        <v>1997000</v>
      </c>
      <c r="Q46" s="235"/>
      <c r="R46" s="997"/>
      <c r="S46" s="235"/>
      <c r="T46" s="246"/>
    </row>
    <row r="47" spans="1:20" ht="15" customHeight="1">
      <c r="A47" s="224"/>
      <c r="B47" s="225"/>
      <c r="C47" s="226"/>
      <c r="D47" s="225"/>
      <c r="E47" s="226"/>
      <c r="F47" s="1653" t="s">
        <v>2476</v>
      </c>
      <c r="G47" s="252">
        <v>1996530</v>
      </c>
      <c r="H47" s="240" t="s">
        <v>277</v>
      </c>
      <c r="I47" s="1033">
        <v>1</v>
      </c>
      <c r="J47" s="240"/>
      <c r="K47" s="242"/>
      <c r="L47" s="243"/>
      <c r="M47" s="244"/>
      <c r="N47" s="240"/>
      <c r="O47" s="244" t="s">
        <v>283</v>
      </c>
      <c r="P47" s="232">
        <f>ROUNDUP(G47*I47,-3)</f>
        <v>1997000</v>
      </c>
      <c r="Q47" s="235"/>
      <c r="R47" s="997"/>
      <c r="S47" s="235"/>
      <c r="T47" s="246"/>
    </row>
    <row r="48" spans="1:20" ht="15" customHeight="1">
      <c r="A48" s="224"/>
      <c r="B48" s="225"/>
      <c r="C48" s="226"/>
      <c r="D48" s="225"/>
      <c r="E48" s="226"/>
      <c r="F48" s="1653" t="s">
        <v>2478</v>
      </c>
      <c r="G48" s="252">
        <v>1600410</v>
      </c>
      <c r="H48" s="240" t="s">
        <v>277</v>
      </c>
      <c r="I48" s="1033">
        <v>0.8</v>
      </c>
      <c r="J48" s="240"/>
      <c r="K48" s="242"/>
      <c r="L48" s="243"/>
      <c r="M48" s="244"/>
      <c r="N48" s="240"/>
      <c r="O48" s="244" t="s">
        <v>274</v>
      </c>
      <c r="P48" s="232">
        <f>ROUNDUP(G48*I48,-3)</f>
        <v>1281000</v>
      </c>
      <c r="Q48" s="235"/>
      <c r="R48" s="997"/>
      <c r="S48" s="235"/>
      <c r="T48" s="246"/>
    </row>
    <row r="49" spans="1:20" ht="15" customHeight="1">
      <c r="A49" s="224"/>
      <c r="B49" s="225"/>
      <c r="C49" s="226"/>
      <c r="D49" s="225"/>
      <c r="E49" s="226"/>
      <c r="F49" s="250" t="s">
        <v>1717</v>
      </c>
      <c r="G49" s="252"/>
      <c r="H49" s="240"/>
      <c r="I49" s="241"/>
      <c r="J49" s="240"/>
      <c r="K49" s="242"/>
      <c r="L49" s="250"/>
      <c r="M49" s="244"/>
      <c r="N49" s="1701"/>
      <c r="O49" s="244"/>
      <c r="P49" s="234">
        <f>SUM(P50:P55)</f>
        <v>11341000</v>
      </c>
      <c r="Q49" s="235"/>
      <c r="R49" s="997"/>
      <c r="S49" s="235"/>
      <c r="T49" s="246"/>
    </row>
    <row r="50" spans="1:20" ht="15" customHeight="1">
      <c r="A50" s="224"/>
      <c r="B50" s="225"/>
      <c r="C50" s="226"/>
      <c r="D50" s="225"/>
      <c r="E50" s="226"/>
      <c r="F50" s="998" t="s">
        <v>2481</v>
      </c>
      <c r="G50" s="252">
        <v>2624660</v>
      </c>
      <c r="H50" s="240" t="s">
        <v>277</v>
      </c>
      <c r="I50" s="1033">
        <v>1.2</v>
      </c>
      <c r="J50" s="240"/>
      <c r="K50" s="242"/>
      <c r="L50" s="250"/>
      <c r="M50" s="244"/>
      <c r="N50" s="1701"/>
      <c r="O50" s="244" t="s">
        <v>283</v>
      </c>
      <c r="P50" s="232">
        <f t="shared" ref="P50:P55" si="2">ROUNDUP(G50*I50,-3)</f>
        <v>3150000</v>
      </c>
      <c r="Q50" s="235"/>
      <c r="R50" s="997"/>
      <c r="S50" s="235"/>
      <c r="T50" s="246"/>
    </row>
    <row r="51" spans="1:20" ht="15" customHeight="1">
      <c r="A51" s="224"/>
      <c r="B51" s="225"/>
      <c r="C51" s="226"/>
      <c r="D51" s="225"/>
      <c r="E51" s="226"/>
      <c r="F51" s="1653" t="s">
        <v>2476</v>
      </c>
      <c r="G51" s="252">
        <v>1996530</v>
      </c>
      <c r="H51" s="240" t="s">
        <v>277</v>
      </c>
      <c r="I51" s="1033">
        <v>0.6</v>
      </c>
      <c r="J51" s="240"/>
      <c r="K51" s="242"/>
      <c r="L51" s="250"/>
      <c r="M51" s="244"/>
      <c r="N51" s="1701"/>
      <c r="O51" s="244" t="s">
        <v>283</v>
      </c>
      <c r="P51" s="232">
        <f t="shared" si="2"/>
        <v>1198000</v>
      </c>
      <c r="Q51" s="235"/>
      <c r="R51" s="997"/>
      <c r="S51" s="235"/>
      <c r="T51" s="246"/>
    </row>
    <row r="52" spans="1:20" ht="15" customHeight="1">
      <c r="A52" s="224"/>
      <c r="B52" s="225"/>
      <c r="C52" s="226"/>
      <c r="D52" s="225"/>
      <c r="E52" s="226"/>
      <c r="F52" s="1653" t="s">
        <v>2476</v>
      </c>
      <c r="G52" s="252">
        <v>2048520</v>
      </c>
      <c r="H52" s="240" t="s">
        <v>273</v>
      </c>
      <c r="I52" s="1033">
        <v>0.6</v>
      </c>
      <c r="J52" s="240"/>
      <c r="K52" s="242"/>
      <c r="L52" s="250"/>
      <c r="M52" s="244"/>
      <c r="N52" s="1701"/>
      <c r="O52" s="244" t="s">
        <v>283</v>
      </c>
      <c r="P52" s="232">
        <f t="shared" si="2"/>
        <v>1230000</v>
      </c>
      <c r="Q52" s="235"/>
      <c r="R52" s="997"/>
      <c r="S52" s="235"/>
      <c r="T52" s="246"/>
    </row>
    <row r="53" spans="1:20" ht="15" customHeight="1">
      <c r="A53" s="224"/>
      <c r="B53" s="225"/>
      <c r="C53" s="226"/>
      <c r="D53" s="225"/>
      <c r="E53" s="226"/>
      <c r="F53" s="1653" t="s">
        <v>2476</v>
      </c>
      <c r="G53" s="252">
        <v>1996530</v>
      </c>
      <c r="H53" s="240" t="s">
        <v>282</v>
      </c>
      <c r="I53" s="1033">
        <v>1.2</v>
      </c>
      <c r="J53" s="240"/>
      <c r="K53" s="242"/>
      <c r="L53" s="250"/>
      <c r="M53" s="244"/>
      <c r="N53" s="1701"/>
      <c r="O53" s="244" t="s">
        <v>283</v>
      </c>
      <c r="P53" s="232">
        <f t="shared" si="2"/>
        <v>2396000</v>
      </c>
      <c r="Q53" s="235"/>
      <c r="R53" s="997"/>
      <c r="S53" s="235"/>
      <c r="T53" s="246"/>
    </row>
    <row r="54" spans="1:20" ht="15" customHeight="1">
      <c r="A54" s="224"/>
      <c r="B54" s="225"/>
      <c r="C54" s="226"/>
      <c r="D54" s="225"/>
      <c r="E54" s="226"/>
      <c r="F54" s="1653" t="s">
        <v>2472</v>
      </c>
      <c r="G54" s="252">
        <v>1204640</v>
      </c>
      <c r="H54" s="240" t="s">
        <v>1471</v>
      </c>
      <c r="I54" s="1033">
        <v>1.2</v>
      </c>
      <c r="J54" s="240"/>
      <c r="K54" s="242"/>
      <c r="L54" s="250"/>
      <c r="M54" s="244"/>
      <c r="N54" s="1701"/>
      <c r="O54" s="244" t="s">
        <v>283</v>
      </c>
      <c r="P54" s="232">
        <f t="shared" si="2"/>
        <v>1446000</v>
      </c>
      <c r="Q54" s="235"/>
      <c r="R54" s="997"/>
      <c r="S54" s="235"/>
      <c r="T54" s="246"/>
    </row>
    <row r="55" spans="1:20" ht="15" customHeight="1">
      <c r="A55" s="224"/>
      <c r="B55" s="225"/>
      <c r="C55" s="226"/>
      <c r="D55" s="225"/>
      <c r="E55" s="226"/>
      <c r="F55" s="1653" t="s">
        <v>2478</v>
      </c>
      <c r="G55" s="252">
        <v>1600410</v>
      </c>
      <c r="H55" s="240" t="s">
        <v>277</v>
      </c>
      <c r="I55" s="1033">
        <v>1.2</v>
      </c>
      <c r="J55" s="240"/>
      <c r="K55" s="242"/>
      <c r="L55" s="250"/>
      <c r="M55" s="244"/>
      <c r="N55" s="1701"/>
      <c r="O55" s="244" t="s">
        <v>283</v>
      </c>
      <c r="P55" s="232">
        <f t="shared" si="2"/>
        <v>1921000</v>
      </c>
      <c r="Q55" s="235"/>
      <c r="R55" s="997"/>
      <c r="S55" s="235"/>
      <c r="T55" s="246"/>
    </row>
    <row r="56" spans="1:20" ht="15" customHeight="1">
      <c r="A56" s="224"/>
      <c r="B56" s="225"/>
      <c r="C56" s="226"/>
      <c r="D56" s="225"/>
      <c r="E56" s="226"/>
      <c r="F56" s="250" t="s">
        <v>2460</v>
      </c>
      <c r="G56" s="252"/>
      <c r="H56" s="240"/>
      <c r="I56" s="1033"/>
      <c r="J56" s="240"/>
      <c r="K56" s="242"/>
      <c r="L56" s="243"/>
      <c r="M56" s="244"/>
      <c r="N56" s="240"/>
      <c r="O56" s="244"/>
      <c r="P56" s="234">
        <f>SUM(P57:P64)</f>
        <v>18947000</v>
      </c>
      <c r="Q56" s="235"/>
      <c r="R56" s="997"/>
      <c r="S56" s="235"/>
      <c r="T56" s="246"/>
    </row>
    <row r="57" spans="1:20" ht="15" customHeight="1">
      <c r="A57" s="224"/>
      <c r="B57" s="225"/>
      <c r="C57" s="226"/>
      <c r="D57" s="225"/>
      <c r="E57" s="237"/>
      <c r="F57" s="998" t="s">
        <v>2481</v>
      </c>
      <c r="G57" s="252">
        <v>2624660</v>
      </c>
      <c r="H57" s="240" t="s">
        <v>277</v>
      </c>
      <c r="I57" s="1033">
        <v>2</v>
      </c>
      <c r="J57" s="240"/>
      <c r="K57" s="242"/>
      <c r="L57" s="250"/>
      <c r="M57" s="244"/>
      <c r="N57" s="1701"/>
      <c r="O57" s="244" t="s">
        <v>281</v>
      </c>
      <c r="P57" s="232">
        <f t="shared" ref="P57:P64" si="3">ROUNDUP(G57*I57,-3)</f>
        <v>5250000</v>
      </c>
      <c r="Q57" s="235"/>
      <c r="R57" s="997"/>
      <c r="S57" s="235"/>
      <c r="T57" s="246"/>
    </row>
    <row r="58" spans="1:20" ht="15" customHeight="1">
      <c r="A58" s="224"/>
      <c r="B58" s="225"/>
      <c r="C58" s="226"/>
      <c r="D58" s="225"/>
      <c r="E58" s="237"/>
      <c r="F58" s="1653" t="s">
        <v>2476</v>
      </c>
      <c r="G58" s="252">
        <v>1996530</v>
      </c>
      <c r="H58" s="240" t="s">
        <v>273</v>
      </c>
      <c r="I58" s="1033">
        <v>1</v>
      </c>
      <c r="J58" s="240"/>
      <c r="K58" s="242"/>
      <c r="L58" s="250"/>
      <c r="M58" s="244"/>
      <c r="N58" s="1701"/>
      <c r="O58" s="244" t="s">
        <v>281</v>
      </c>
      <c r="P58" s="232">
        <f t="shared" si="3"/>
        <v>1997000</v>
      </c>
      <c r="Q58" s="235"/>
      <c r="R58" s="997"/>
      <c r="S58" s="235"/>
      <c r="T58" s="246"/>
    </row>
    <row r="59" spans="1:20" ht="15" customHeight="1">
      <c r="A59" s="224"/>
      <c r="B59" s="225"/>
      <c r="C59" s="226"/>
      <c r="D59" s="225"/>
      <c r="E59" s="237"/>
      <c r="F59" s="1653" t="s">
        <v>2476</v>
      </c>
      <c r="G59" s="252">
        <v>2048520</v>
      </c>
      <c r="H59" s="240" t="s">
        <v>277</v>
      </c>
      <c r="I59" s="1033">
        <v>1</v>
      </c>
      <c r="J59" s="240"/>
      <c r="K59" s="242"/>
      <c r="L59" s="250"/>
      <c r="M59" s="244"/>
      <c r="N59" s="1701"/>
      <c r="O59" s="244" t="s">
        <v>281</v>
      </c>
      <c r="P59" s="232">
        <f t="shared" si="3"/>
        <v>2049000</v>
      </c>
      <c r="Q59" s="235"/>
      <c r="R59" s="997"/>
      <c r="S59" s="235"/>
      <c r="T59" s="246"/>
    </row>
    <row r="60" spans="1:20" ht="15" customHeight="1">
      <c r="A60" s="224"/>
      <c r="B60" s="225"/>
      <c r="C60" s="226"/>
      <c r="D60" s="225"/>
      <c r="E60" s="247"/>
      <c r="F60" s="1653" t="s">
        <v>2476</v>
      </c>
      <c r="G60" s="252">
        <v>1996530</v>
      </c>
      <c r="H60" s="240" t="s">
        <v>282</v>
      </c>
      <c r="I60" s="1033">
        <v>1.5</v>
      </c>
      <c r="J60" s="240"/>
      <c r="K60" s="242"/>
      <c r="L60" s="250"/>
      <c r="M60" s="244"/>
      <c r="N60" s="1701"/>
      <c r="O60" s="244" t="s">
        <v>283</v>
      </c>
      <c r="P60" s="232">
        <f t="shared" si="3"/>
        <v>2995000</v>
      </c>
      <c r="Q60" s="235"/>
      <c r="R60" s="997"/>
      <c r="S60" s="235"/>
      <c r="T60" s="246"/>
    </row>
    <row r="61" spans="1:20" ht="15" customHeight="1">
      <c r="A61" s="224"/>
      <c r="B61" s="225"/>
      <c r="C61" s="226"/>
      <c r="D61" s="225"/>
      <c r="E61" s="247"/>
      <c r="F61" s="1653" t="s">
        <v>2476</v>
      </c>
      <c r="G61" s="252">
        <v>2048520</v>
      </c>
      <c r="H61" s="240" t="s">
        <v>277</v>
      </c>
      <c r="I61" s="1033">
        <v>0.5</v>
      </c>
      <c r="J61" s="240"/>
      <c r="K61" s="242"/>
      <c r="L61" s="250"/>
      <c r="M61" s="244"/>
      <c r="N61" s="1701"/>
      <c r="O61" s="244" t="s">
        <v>274</v>
      </c>
      <c r="P61" s="232">
        <f t="shared" si="3"/>
        <v>1025000</v>
      </c>
      <c r="Q61" s="235"/>
      <c r="R61" s="997"/>
      <c r="S61" s="235"/>
      <c r="T61" s="246"/>
    </row>
    <row r="62" spans="1:20" ht="15" customHeight="1">
      <c r="A62" s="224"/>
      <c r="B62" s="225"/>
      <c r="C62" s="226"/>
      <c r="D62" s="225"/>
      <c r="E62" s="237"/>
      <c r="F62" s="1653" t="s">
        <v>2472</v>
      </c>
      <c r="G62" s="252">
        <v>1204640</v>
      </c>
      <c r="H62" s="240" t="s">
        <v>1471</v>
      </c>
      <c r="I62" s="1033">
        <v>2</v>
      </c>
      <c r="J62" s="240"/>
      <c r="K62" s="242"/>
      <c r="L62" s="250"/>
      <c r="M62" s="244"/>
      <c r="N62" s="1701"/>
      <c r="O62" s="244" t="s">
        <v>281</v>
      </c>
      <c r="P62" s="232">
        <f t="shared" si="3"/>
        <v>2410000</v>
      </c>
      <c r="Q62" s="235"/>
      <c r="R62" s="997"/>
      <c r="S62" s="235"/>
      <c r="T62" s="246"/>
    </row>
    <row r="63" spans="1:20" ht="15" customHeight="1">
      <c r="A63" s="224"/>
      <c r="B63" s="225"/>
      <c r="C63" s="226"/>
      <c r="D63" s="225"/>
      <c r="E63" s="237"/>
      <c r="F63" s="1653" t="s">
        <v>2478</v>
      </c>
      <c r="G63" s="252">
        <v>1600410</v>
      </c>
      <c r="H63" s="240" t="s">
        <v>277</v>
      </c>
      <c r="I63" s="1033">
        <v>1.5</v>
      </c>
      <c r="J63" s="240"/>
      <c r="K63" s="242"/>
      <c r="L63" s="250"/>
      <c r="M63" s="244"/>
      <c r="N63" s="1701"/>
      <c r="O63" s="244" t="s">
        <v>274</v>
      </c>
      <c r="P63" s="232">
        <f t="shared" si="3"/>
        <v>2401000</v>
      </c>
      <c r="Q63" s="235"/>
      <c r="R63" s="997"/>
      <c r="S63" s="235"/>
      <c r="T63" s="246"/>
    </row>
    <row r="64" spans="1:20" ht="15" customHeight="1">
      <c r="A64" s="224"/>
      <c r="B64" s="225"/>
      <c r="C64" s="226"/>
      <c r="D64" s="225"/>
      <c r="E64" s="247"/>
      <c r="F64" s="1653" t="s">
        <v>2478</v>
      </c>
      <c r="G64" s="252">
        <v>1638080</v>
      </c>
      <c r="H64" s="240" t="s">
        <v>282</v>
      </c>
      <c r="I64" s="1033">
        <v>0.5</v>
      </c>
      <c r="J64" s="240"/>
      <c r="K64" s="242"/>
      <c r="L64" s="250"/>
      <c r="M64" s="244"/>
      <c r="N64" s="1701"/>
      <c r="O64" s="244" t="s">
        <v>281</v>
      </c>
      <c r="P64" s="232">
        <f t="shared" si="3"/>
        <v>820000</v>
      </c>
      <c r="Q64" s="235"/>
      <c r="R64" s="997"/>
      <c r="S64" s="235"/>
      <c r="T64" s="246"/>
    </row>
    <row r="65" spans="1:20" ht="15" customHeight="1">
      <c r="A65" s="224"/>
      <c r="B65" s="225"/>
      <c r="C65" s="226"/>
      <c r="D65" s="225"/>
      <c r="E65" s="247"/>
      <c r="F65" s="250" t="s">
        <v>2461</v>
      </c>
      <c r="G65" s="252"/>
      <c r="H65" s="240"/>
      <c r="I65" s="1033"/>
      <c r="J65" s="240"/>
      <c r="K65" s="242"/>
      <c r="L65" s="243"/>
      <c r="M65" s="244"/>
      <c r="N65" s="240"/>
      <c r="O65" s="244"/>
      <c r="P65" s="234">
        <f>SUM(P66:P74)</f>
        <v>23607000</v>
      </c>
      <c r="Q65" s="235"/>
      <c r="R65" s="997"/>
      <c r="S65" s="235"/>
      <c r="T65" s="246"/>
    </row>
    <row r="66" spans="1:20" ht="15" customHeight="1">
      <c r="A66" s="224"/>
      <c r="B66" s="225"/>
      <c r="C66" s="226"/>
      <c r="D66" s="225"/>
      <c r="E66" s="247"/>
      <c r="F66" s="998" t="s">
        <v>2481</v>
      </c>
      <c r="G66" s="252">
        <v>2571260</v>
      </c>
      <c r="H66" s="240" t="s">
        <v>282</v>
      </c>
      <c r="I66" s="1033">
        <v>0.5</v>
      </c>
      <c r="J66" s="240"/>
      <c r="K66" s="242"/>
      <c r="L66" s="250"/>
      <c r="M66" s="244"/>
      <c r="N66" s="1701"/>
      <c r="O66" s="244" t="s">
        <v>281</v>
      </c>
      <c r="P66" s="232">
        <f t="shared" ref="P66:P74" si="4">ROUNDUP(G66*I66,-3)</f>
        <v>1286000</v>
      </c>
      <c r="Q66" s="235"/>
      <c r="R66" s="997"/>
      <c r="S66" s="235"/>
      <c r="T66" s="246"/>
    </row>
    <row r="67" spans="1:20" ht="15" customHeight="1">
      <c r="A67" s="224"/>
      <c r="B67" s="225"/>
      <c r="C67" s="226"/>
      <c r="D67" s="225"/>
      <c r="E67" s="247"/>
      <c r="F67" s="998" t="s">
        <v>2481</v>
      </c>
      <c r="G67" s="252">
        <v>2624660</v>
      </c>
      <c r="H67" s="240" t="s">
        <v>282</v>
      </c>
      <c r="I67" s="1033">
        <v>2</v>
      </c>
      <c r="J67" s="240"/>
      <c r="K67" s="242"/>
      <c r="L67" s="250"/>
      <c r="M67" s="244"/>
      <c r="N67" s="1701"/>
      <c r="O67" s="244" t="s">
        <v>281</v>
      </c>
      <c r="P67" s="232">
        <f t="shared" si="4"/>
        <v>5250000</v>
      </c>
      <c r="Q67" s="235"/>
      <c r="R67" s="997"/>
      <c r="S67" s="235"/>
      <c r="T67" s="246"/>
    </row>
    <row r="68" spans="1:20" ht="15" customHeight="1">
      <c r="A68" s="224"/>
      <c r="B68" s="225"/>
      <c r="C68" s="226"/>
      <c r="D68" s="225"/>
      <c r="E68" s="247"/>
      <c r="F68" s="1653" t="s">
        <v>2476</v>
      </c>
      <c r="G68" s="252">
        <v>1996530</v>
      </c>
      <c r="H68" s="240" t="s">
        <v>277</v>
      </c>
      <c r="I68" s="1033">
        <v>2</v>
      </c>
      <c r="J68" s="240"/>
      <c r="K68" s="242"/>
      <c r="L68" s="250"/>
      <c r="M68" s="244"/>
      <c r="N68" s="1701"/>
      <c r="O68" s="244" t="s">
        <v>281</v>
      </c>
      <c r="P68" s="232">
        <f t="shared" si="4"/>
        <v>3994000</v>
      </c>
      <c r="Q68" s="235"/>
      <c r="R68" s="997"/>
      <c r="S68" s="235"/>
      <c r="T68" s="246"/>
    </row>
    <row r="69" spans="1:20" ht="15" customHeight="1">
      <c r="A69" s="224"/>
      <c r="B69" s="225"/>
      <c r="C69" s="226"/>
      <c r="D69" s="225"/>
      <c r="E69" s="247"/>
      <c r="F69" s="1653" t="s">
        <v>2476</v>
      </c>
      <c r="G69" s="252">
        <v>2048520</v>
      </c>
      <c r="H69" s="240" t="s">
        <v>282</v>
      </c>
      <c r="I69" s="1033">
        <v>0.5</v>
      </c>
      <c r="J69" s="240"/>
      <c r="K69" s="242"/>
      <c r="L69" s="250"/>
      <c r="M69" s="244"/>
      <c r="N69" s="1701"/>
      <c r="O69" s="244" t="s">
        <v>281</v>
      </c>
      <c r="P69" s="232">
        <f t="shared" si="4"/>
        <v>1025000</v>
      </c>
      <c r="Q69" s="235"/>
      <c r="R69" s="997"/>
      <c r="S69" s="235"/>
      <c r="T69" s="246"/>
    </row>
    <row r="70" spans="1:20" ht="15" customHeight="1">
      <c r="A70" s="224"/>
      <c r="B70" s="225"/>
      <c r="C70" s="226"/>
      <c r="D70" s="225"/>
      <c r="E70" s="247"/>
      <c r="F70" s="1653" t="s">
        <v>2476</v>
      </c>
      <c r="G70" s="252">
        <v>1996530</v>
      </c>
      <c r="H70" s="240" t="s">
        <v>282</v>
      </c>
      <c r="I70" s="1033">
        <v>2</v>
      </c>
      <c r="J70" s="240"/>
      <c r="K70" s="242"/>
      <c r="L70" s="250"/>
      <c r="M70" s="244"/>
      <c r="N70" s="1701"/>
      <c r="O70" s="244" t="s">
        <v>283</v>
      </c>
      <c r="P70" s="232">
        <f t="shared" si="4"/>
        <v>3994000</v>
      </c>
      <c r="Q70" s="235"/>
      <c r="R70" s="997"/>
      <c r="S70" s="235"/>
      <c r="T70" s="246"/>
    </row>
    <row r="71" spans="1:20" ht="15" customHeight="1">
      <c r="A71" s="224"/>
      <c r="B71" s="225"/>
      <c r="C71" s="226"/>
      <c r="D71" s="225"/>
      <c r="E71" s="247"/>
      <c r="F71" s="1653" t="s">
        <v>2476</v>
      </c>
      <c r="G71" s="252">
        <v>2048520</v>
      </c>
      <c r="H71" s="240" t="s">
        <v>273</v>
      </c>
      <c r="I71" s="1033">
        <v>0.5</v>
      </c>
      <c r="J71" s="240"/>
      <c r="K71" s="242"/>
      <c r="L71" s="250"/>
      <c r="M71" s="244"/>
      <c r="N71" s="1701"/>
      <c r="O71" s="244" t="s">
        <v>283</v>
      </c>
      <c r="P71" s="232">
        <f t="shared" si="4"/>
        <v>1025000</v>
      </c>
      <c r="Q71" s="235"/>
      <c r="R71" s="997"/>
      <c r="S71" s="235"/>
      <c r="T71" s="246"/>
    </row>
    <row r="72" spans="1:20" ht="15" customHeight="1">
      <c r="A72" s="224"/>
      <c r="B72" s="225"/>
      <c r="C72" s="226"/>
      <c r="D72" s="225"/>
      <c r="E72" s="247"/>
      <c r="F72" s="1653" t="s">
        <v>2472</v>
      </c>
      <c r="G72" s="252">
        <v>1204640</v>
      </c>
      <c r="H72" s="240" t="s">
        <v>973</v>
      </c>
      <c r="I72" s="1033">
        <v>2.5</v>
      </c>
      <c r="J72" s="240"/>
      <c r="K72" s="242"/>
      <c r="L72" s="250"/>
      <c r="M72" s="244"/>
      <c r="N72" s="1701"/>
      <c r="O72" s="244" t="s">
        <v>281</v>
      </c>
      <c r="P72" s="232">
        <f t="shared" si="4"/>
        <v>3012000</v>
      </c>
      <c r="Q72" s="235"/>
      <c r="R72" s="997"/>
      <c r="S72" s="235"/>
      <c r="T72" s="246"/>
    </row>
    <row r="73" spans="1:20" ht="15" customHeight="1">
      <c r="A73" s="224"/>
      <c r="B73" s="225"/>
      <c r="C73" s="226"/>
      <c r="D73" s="225"/>
      <c r="E73" s="247"/>
      <c r="F73" s="1653" t="s">
        <v>2478</v>
      </c>
      <c r="G73" s="252">
        <v>1600410</v>
      </c>
      <c r="H73" s="240" t="s">
        <v>282</v>
      </c>
      <c r="I73" s="1033">
        <v>2</v>
      </c>
      <c r="J73" s="240"/>
      <c r="K73" s="242"/>
      <c r="L73" s="250"/>
      <c r="M73" s="244"/>
      <c r="N73" s="1701"/>
      <c r="O73" s="244" t="s">
        <v>274</v>
      </c>
      <c r="P73" s="232">
        <f t="shared" si="4"/>
        <v>3201000</v>
      </c>
      <c r="Q73" s="235"/>
      <c r="R73" s="997"/>
      <c r="S73" s="235"/>
      <c r="T73" s="246"/>
    </row>
    <row r="74" spans="1:20" ht="15" customHeight="1">
      <c r="A74" s="576"/>
      <c r="B74" s="278"/>
      <c r="C74" s="279"/>
      <c r="D74" s="278"/>
      <c r="E74" s="280"/>
      <c r="F74" s="1658" t="s">
        <v>2474</v>
      </c>
      <c r="G74" s="579">
        <v>1638080</v>
      </c>
      <c r="H74" s="283" t="s">
        <v>273</v>
      </c>
      <c r="I74" s="1702">
        <v>0.5</v>
      </c>
      <c r="J74" s="283"/>
      <c r="K74" s="284"/>
      <c r="L74" s="1394"/>
      <c r="M74" s="285"/>
      <c r="N74" s="1703"/>
      <c r="O74" s="285" t="s">
        <v>283</v>
      </c>
      <c r="P74" s="1704">
        <f t="shared" si="4"/>
        <v>820000</v>
      </c>
      <c r="Q74" s="287"/>
      <c r="R74" s="1027"/>
      <c r="S74" s="287"/>
      <c r="T74" s="288"/>
    </row>
    <row r="75" spans="1:20" ht="15" customHeight="1">
      <c r="A75" s="224"/>
      <c r="B75" s="225"/>
      <c r="C75" s="226"/>
      <c r="D75" s="225"/>
      <c r="E75" s="247"/>
      <c r="F75" s="250" t="s">
        <v>2463</v>
      </c>
      <c r="G75" s="252"/>
      <c r="H75" s="240"/>
      <c r="I75" s="1033"/>
      <c r="J75" s="240"/>
      <c r="K75" s="242"/>
      <c r="L75" s="250"/>
      <c r="M75" s="244"/>
      <c r="N75" s="1701"/>
      <c r="O75" s="1694"/>
      <c r="P75" s="251">
        <f>SUM(P76:P77)</f>
        <v>3000000</v>
      </c>
      <c r="Q75" s="235"/>
      <c r="R75" s="997"/>
      <c r="S75" s="235"/>
      <c r="T75" s="246"/>
    </row>
    <row r="76" spans="1:20" ht="15" customHeight="1">
      <c r="A76" s="224"/>
      <c r="B76" s="225"/>
      <c r="C76" s="226"/>
      <c r="D76" s="225"/>
      <c r="E76" s="247"/>
      <c r="F76" s="1653" t="s">
        <v>2484</v>
      </c>
      <c r="G76" s="252">
        <v>50000</v>
      </c>
      <c r="H76" s="240" t="s">
        <v>1472</v>
      </c>
      <c r="I76" s="241">
        <v>4</v>
      </c>
      <c r="J76" s="240" t="s">
        <v>1470</v>
      </c>
      <c r="K76" s="242">
        <v>12</v>
      </c>
      <c r="L76" s="250"/>
      <c r="M76" s="244"/>
      <c r="N76" s="1701"/>
      <c r="O76" s="244" t="s">
        <v>274</v>
      </c>
      <c r="P76" s="1570">
        <f>G76*I76*K76</f>
        <v>2400000</v>
      </c>
      <c r="Q76" s="235"/>
      <c r="R76" s="997"/>
      <c r="S76" s="235"/>
      <c r="T76" s="246"/>
    </row>
    <row r="77" spans="1:20" ht="15" customHeight="1">
      <c r="A77" s="224"/>
      <c r="B77" s="225"/>
      <c r="C77" s="226"/>
      <c r="D77" s="225"/>
      <c r="E77" s="247"/>
      <c r="F77" s="1653" t="s">
        <v>2485</v>
      </c>
      <c r="G77" s="252">
        <v>50000</v>
      </c>
      <c r="H77" s="240" t="s">
        <v>1471</v>
      </c>
      <c r="I77" s="241">
        <v>1</v>
      </c>
      <c r="J77" s="240" t="s">
        <v>1470</v>
      </c>
      <c r="K77" s="242">
        <v>12</v>
      </c>
      <c r="L77" s="250"/>
      <c r="M77" s="244"/>
      <c r="N77" s="1701"/>
      <c r="O77" s="244" t="s">
        <v>274</v>
      </c>
      <c r="P77" s="1570">
        <f>ROUNDUP(G77*I77*K77,-3)</f>
        <v>600000</v>
      </c>
      <c r="Q77" s="235"/>
      <c r="R77" s="997"/>
      <c r="S77" s="235"/>
      <c r="T77" s="246"/>
    </row>
    <row r="78" spans="1:20" ht="15" customHeight="1">
      <c r="A78" s="224"/>
      <c r="B78" s="225"/>
      <c r="C78" s="226"/>
      <c r="D78" s="225"/>
      <c r="E78" s="237"/>
      <c r="F78" s="250" t="s">
        <v>2462</v>
      </c>
      <c r="G78" s="252"/>
      <c r="H78" s="240"/>
      <c r="I78" s="1033"/>
      <c r="J78" s="240"/>
      <c r="K78" s="242"/>
      <c r="L78" s="250"/>
      <c r="M78" s="244"/>
      <c r="N78" s="1701"/>
      <c r="O78" s="244"/>
      <c r="P78" s="234">
        <f>P79</f>
        <v>6000000</v>
      </c>
      <c r="Q78" s="235"/>
      <c r="R78" s="997"/>
      <c r="S78" s="235"/>
      <c r="T78" s="246"/>
    </row>
    <row r="79" spans="1:20" ht="15" customHeight="1">
      <c r="A79" s="224"/>
      <c r="B79" s="225"/>
      <c r="C79" s="226"/>
      <c r="D79" s="225"/>
      <c r="E79" s="237"/>
      <c r="F79" s="1658" t="s">
        <v>2486</v>
      </c>
      <c r="G79" s="579">
        <v>100000</v>
      </c>
      <c r="H79" s="283" t="s">
        <v>282</v>
      </c>
      <c r="I79" s="1118">
        <v>5</v>
      </c>
      <c r="J79" s="283" t="s">
        <v>273</v>
      </c>
      <c r="K79" s="284">
        <v>12</v>
      </c>
      <c r="L79" s="1394"/>
      <c r="M79" s="285"/>
      <c r="N79" s="1703"/>
      <c r="O79" s="285" t="s">
        <v>281</v>
      </c>
      <c r="P79" s="1705">
        <f>ROUNDUP(G79*I79*K79,-3)</f>
        <v>6000000</v>
      </c>
      <c r="Q79" s="235"/>
      <c r="R79" s="997"/>
      <c r="S79" s="235"/>
      <c r="T79" s="246"/>
    </row>
    <row r="80" spans="1:20" ht="15" customHeight="1">
      <c r="A80" s="224"/>
      <c r="B80" s="225"/>
      <c r="C80" s="226"/>
      <c r="D80" s="225"/>
      <c r="E80" s="255" t="s">
        <v>1469</v>
      </c>
      <c r="F80" s="227"/>
      <c r="G80" s="228"/>
      <c r="H80" s="66"/>
      <c r="I80" s="66"/>
      <c r="J80" s="66"/>
      <c r="K80" s="66"/>
      <c r="L80" s="229"/>
      <c r="M80" s="66"/>
      <c r="N80" s="230"/>
      <c r="O80" s="230"/>
      <c r="P80" s="66"/>
      <c r="Q80" s="171">
        <f>ROUNDUP(SUM(P81),-3)</f>
        <v>17302000</v>
      </c>
      <c r="R80" s="171">
        <v>14276100</v>
      </c>
      <c r="S80" s="171">
        <f>Q80-R80</f>
        <v>3025900</v>
      </c>
      <c r="T80" s="172">
        <f>S80/R80</f>
        <v>0.21195564614985885</v>
      </c>
    </row>
    <row r="81" spans="1:23" ht="15" customHeight="1">
      <c r="A81" s="224"/>
      <c r="B81" s="225"/>
      <c r="C81" s="226"/>
      <c r="D81" s="225"/>
      <c r="E81" s="226"/>
      <c r="F81" s="240" t="s">
        <v>653</v>
      </c>
      <c r="G81" s="249"/>
      <c r="H81" s="240"/>
      <c r="I81" s="240"/>
      <c r="J81" s="240"/>
      <c r="K81" s="240"/>
      <c r="L81" s="250"/>
      <c r="M81" s="244"/>
      <c r="N81" s="240"/>
      <c r="O81" s="244"/>
      <c r="P81" s="251">
        <f>SUM(P82:P82)</f>
        <v>17302000</v>
      </c>
      <c r="Q81" s="235"/>
      <c r="R81" s="997"/>
      <c r="S81" s="235"/>
      <c r="T81" s="246"/>
    </row>
    <row r="82" spans="1:23" ht="15" customHeight="1">
      <c r="A82" s="224"/>
      <c r="B82" s="225"/>
      <c r="C82" s="226"/>
      <c r="D82" s="225"/>
      <c r="E82" s="237"/>
      <c r="F82" s="998" t="s">
        <v>2464</v>
      </c>
      <c r="G82" s="252">
        <v>207631080</v>
      </c>
      <c r="H82" s="240" t="s">
        <v>277</v>
      </c>
      <c r="I82" s="1998">
        <v>12</v>
      </c>
      <c r="J82" s="1998"/>
      <c r="K82" s="242"/>
      <c r="L82" s="243"/>
      <c r="M82" s="244"/>
      <c r="N82" s="240"/>
      <c r="O82" s="244" t="s">
        <v>283</v>
      </c>
      <c r="P82" s="245">
        <f>ROUNDDOWN((G82/12),-3)</f>
        <v>17302000</v>
      </c>
      <c r="Q82" s="235"/>
      <c r="R82" s="997"/>
      <c r="S82" s="235"/>
      <c r="T82" s="246"/>
    </row>
    <row r="83" spans="1:23" ht="15" customHeight="1">
      <c r="A83" s="224"/>
      <c r="B83" s="225"/>
      <c r="C83" s="226"/>
      <c r="D83" s="84" t="s">
        <v>382</v>
      </c>
      <c r="E83" s="84"/>
      <c r="F83" s="85"/>
      <c r="G83" s="86"/>
      <c r="H83" s="84"/>
      <c r="I83" s="84"/>
      <c r="J83" s="84"/>
      <c r="K83" s="84"/>
      <c r="L83" s="83"/>
      <c r="M83" s="84"/>
      <c r="N83" s="87"/>
      <c r="O83" s="87"/>
      <c r="P83" s="84"/>
      <c r="Q83" s="76">
        <f>ROUNDUP(Q84+Q91+Q94+Q99+Q102+Q105+Q108+Q114+Q119+Q123+Q126+Q130,-3)</f>
        <v>48841000</v>
      </c>
      <c r="R83" s="76">
        <f>R84+R91+R94+R99+R102+R105+R108+R114+R119+R123+R126+R130+R133</f>
        <v>37165570</v>
      </c>
      <c r="S83" s="76">
        <f>Q83-R83</f>
        <v>11675430</v>
      </c>
      <c r="T83" s="135">
        <f>S83/R83</f>
        <v>0.31414639947671996</v>
      </c>
    </row>
    <row r="84" spans="1:23" ht="15" customHeight="1">
      <c r="A84" s="224"/>
      <c r="B84" s="225"/>
      <c r="C84" s="226"/>
      <c r="D84" s="225"/>
      <c r="E84" s="66" t="s">
        <v>535</v>
      </c>
      <c r="F84" s="227"/>
      <c r="G84" s="228"/>
      <c r="H84" s="66"/>
      <c r="I84" s="66"/>
      <c r="J84" s="66"/>
      <c r="K84" s="66"/>
      <c r="L84" s="229"/>
      <c r="M84" s="66"/>
      <c r="N84" s="230"/>
      <c r="O84" s="230"/>
      <c r="P84" s="66"/>
      <c r="Q84" s="171">
        <f>ROUNDUP(SUM(P85),-3)</f>
        <v>19159000</v>
      </c>
      <c r="R84" s="171">
        <v>15805270</v>
      </c>
      <c r="S84" s="171">
        <f>Q84-R84</f>
        <v>3353730</v>
      </c>
      <c r="T84" s="172">
        <f>S84/R84</f>
        <v>0.21219061743329914</v>
      </c>
    </row>
    <row r="85" spans="1:23" ht="15" customHeight="1">
      <c r="A85" s="224"/>
      <c r="B85" s="225"/>
      <c r="C85" s="226"/>
      <c r="D85" s="225"/>
      <c r="E85" s="226"/>
      <c r="F85" s="231" t="s">
        <v>516</v>
      </c>
      <c r="G85" s="249"/>
      <c r="H85" s="240"/>
      <c r="I85" s="240"/>
      <c r="J85" s="240"/>
      <c r="K85" s="240"/>
      <c r="L85" s="250"/>
      <c r="M85" s="240"/>
      <c r="N85" s="244"/>
      <c r="O85" s="244"/>
      <c r="P85" s="251">
        <f>SUM(P86:P90)</f>
        <v>19159000</v>
      </c>
      <c r="Q85" s="235"/>
      <c r="R85" s="997"/>
      <c r="S85" s="235"/>
      <c r="T85" s="246"/>
      <c r="W85" s="275"/>
    </row>
    <row r="86" spans="1:23" ht="15" customHeight="1">
      <c r="A86" s="224"/>
      <c r="B86" s="225"/>
      <c r="C86" s="226"/>
      <c r="D86" s="225"/>
      <c r="E86" s="237"/>
      <c r="F86" s="238" t="s">
        <v>863</v>
      </c>
      <c r="G86" s="252">
        <v>206267250</v>
      </c>
      <c r="H86" s="240" t="s">
        <v>273</v>
      </c>
      <c r="I86" s="2011">
        <v>4.4999999999999998E-2</v>
      </c>
      <c r="J86" s="2011"/>
      <c r="K86" s="242"/>
      <c r="L86" s="243"/>
      <c r="M86" s="242"/>
      <c r="N86" s="244"/>
      <c r="O86" s="244" t="s">
        <v>281</v>
      </c>
      <c r="P86" s="245">
        <f>ROUNDUP(G86*I86,-3)</f>
        <v>9283000</v>
      </c>
      <c r="Q86" s="235"/>
      <c r="R86" s="997"/>
      <c r="S86" s="235"/>
      <c r="T86" s="246"/>
    </row>
    <row r="87" spans="1:23" ht="15" customHeight="1">
      <c r="A87" s="224"/>
      <c r="B87" s="225"/>
      <c r="C87" s="226"/>
      <c r="D87" s="225"/>
      <c r="E87" s="247"/>
      <c r="F87" s="248" t="s">
        <v>518</v>
      </c>
      <c r="G87" s="252">
        <v>206267250</v>
      </c>
      <c r="H87" s="240" t="s">
        <v>273</v>
      </c>
      <c r="I87" s="2011">
        <v>3.0599999999999999E-2</v>
      </c>
      <c r="J87" s="2011"/>
      <c r="K87" s="242"/>
      <c r="L87" s="243"/>
      <c r="M87" s="242"/>
      <c r="N87" s="244"/>
      <c r="O87" s="244" t="s">
        <v>281</v>
      </c>
      <c r="P87" s="245">
        <f>ROUNDUP(G87*I87,-3)</f>
        <v>6312000</v>
      </c>
      <c r="Q87" s="235"/>
      <c r="R87" s="997"/>
      <c r="S87" s="235"/>
      <c r="T87" s="246"/>
    </row>
    <row r="88" spans="1:23" ht="15" customHeight="1">
      <c r="A88" s="224"/>
      <c r="B88" s="225"/>
      <c r="C88" s="226"/>
      <c r="D88" s="225"/>
      <c r="E88" s="247"/>
      <c r="F88" s="248" t="s">
        <v>434</v>
      </c>
      <c r="G88" s="252">
        <v>6394280</v>
      </c>
      <c r="H88" s="240" t="s">
        <v>282</v>
      </c>
      <c r="I88" s="2011">
        <v>6.5500000000000003E-2</v>
      </c>
      <c r="J88" s="2011"/>
      <c r="K88" s="242"/>
      <c r="L88" s="243"/>
      <c r="M88" s="242"/>
      <c r="N88" s="244"/>
      <c r="O88" s="244" t="s">
        <v>281</v>
      </c>
      <c r="P88" s="245">
        <f>ROUNDUP(G88*I88,-3)</f>
        <v>419000</v>
      </c>
      <c r="Q88" s="235"/>
      <c r="R88" s="997"/>
      <c r="S88" s="235"/>
      <c r="T88" s="246"/>
      <c r="W88" s="275"/>
    </row>
    <row r="89" spans="1:23" ht="15" customHeight="1">
      <c r="A89" s="224"/>
      <c r="B89" s="225"/>
      <c r="C89" s="226"/>
      <c r="D89" s="225"/>
      <c r="E89" s="247"/>
      <c r="F89" s="248" t="s">
        <v>519</v>
      </c>
      <c r="G89" s="252">
        <v>206267250</v>
      </c>
      <c r="H89" s="240" t="s">
        <v>273</v>
      </c>
      <c r="I89" s="2011">
        <v>8.9999999999999993E-3</v>
      </c>
      <c r="J89" s="2011"/>
      <c r="K89" s="242"/>
      <c r="L89" s="243"/>
      <c r="M89" s="242"/>
      <c r="N89" s="244"/>
      <c r="O89" s="244" t="s">
        <v>281</v>
      </c>
      <c r="P89" s="245">
        <f>ROUNDUP(G89*I89,-3)</f>
        <v>1857000</v>
      </c>
      <c r="Q89" s="235"/>
      <c r="R89" s="997"/>
      <c r="S89" s="235"/>
      <c r="T89" s="246"/>
    </row>
    <row r="90" spans="1:23" ht="15" customHeight="1">
      <c r="A90" s="224"/>
      <c r="B90" s="225"/>
      <c r="C90" s="226"/>
      <c r="D90" s="225"/>
      <c r="E90" s="247"/>
      <c r="F90" s="248" t="s">
        <v>658</v>
      </c>
      <c r="G90" s="252">
        <v>206267260</v>
      </c>
      <c r="H90" s="240" t="s">
        <v>282</v>
      </c>
      <c r="I90" s="2011">
        <v>6.2399999999999999E-3</v>
      </c>
      <c r="J90" s="2011"/>
      <c r="K90" s="242"/>
      <c r="L90" s="243"/>
      <c r="M90" s="242"/>
      <c r="N90" s="244"/>
      <c r="O90" s="244" t="s">
        <v>274</v>
      </c>
      <c r="P90" s="245">
        <f>ROUNDUP(G90*I90,-3)</f>
        <v>1288000</v>
      </c>
      <c r="Q90" s="235"/>
      <c r="R90" s="997"/>
      <c r="S90" s="235"/>
      <c r="T90" s="246"/>
    </row>
    <row r="91" spans="1:23" ht="15" customHeight="1">
      <c r="A91" s="224"/>
      <c r="B91" s="225"/>
      <c r="C91" s="226"/>
      <c r="D91" s="225"/>
      <c r="E91" s="66" t="s">
        <v>866</v>
      </c>
      <c r="F91" s="227"/>
      <c r="G91" s="228"/>
      <c r="H91" s="66"/>
      <c r="I91" s="66"/>
      <c r="J91" s="66"/>
      <c r="K91" s="66"/>
      <c r="L91" s="229"/>
      <c r="M91" s="66"/>
      <c r="N91" s="230"/>
      <c r="O91" s="230"/>
      <c r="P91" s="66"/>
      <c r="Q91" s="171">
        <f>ROUNDUP(SUM(P92),-3)</f>
        <v>3600000</v>
      </c>
      <c r="R91" s="171">
        <v>2880000</v>
      </c>
      <c r="S91" s="171">
        <f>Q91-R91</f>
        <v>720000</v>
      </c>
      <c r="T91" s="172">
        <f>S91/R91</f>
        <v>0.25</v>
      </c>
    </row>
    <row r="92" spans="1:23" ht="15" customHeight="1">
      <c r="A92" s="224"/>
      <c r="B92" s="225"/>
      <c r="C92" s="226"/>
      <c r="D92" s="225"/>
      <c r="E92" s="226"/>
      <c r="F92" s="231" t="s">
        <v>742</v>
      </c>
      <c r="G92" s="249"/>
      <c r="H92" s="240"/>
      <c r="I92" s="240"/>
      <c r="J92" s="240"/>
      <c r="K92" s="240"/>
      <c r="L92" s="250"/>
      <c r="M92" s="240"/>
      <c r="N92" s="244"/>
      <c r="O92" s="244"/>
      <c r="P92" s="251">
        <f>SUM(P93:P93)</f>
        <v>3600000</v>
      </c>
      <c r="Q92" s="235"/>
      <c r="R92" s="997"/>
      <c r="S92" s="235"/>
      <c r="T92" s="246"/>
      <c r="W92" s="275"/>
    </row>
    <row r="93" spans="1:23" ht="15" customHeight="1">
      <c r="A93" s="224"/>
      <c r="B93" s="225"/>
      <c r="C93" s="226"/>
      <c r="D93" s="225"/>
      <c r="E93" s="237"/>
      <c r="F93" s="238" t="s">
        <v>441</v>
      </c>
      <c r="G93" s="252">
        <v>60000</v>
      </c>
      <c r="H93" s="240" t="s">
        <v>282</v>
      </c>
      <c r="I93" s="241">
        <v>5</v>
      </c>
      <c r="J93" s="240" t="s">
        <v>109</v>
      </c>
      <c r="K93" s="242">
        <v>12</v>
      </c>
      <c r="L93" s="243"/>
      <c r="M93" s="242"/>
      <c r="N93" s="244"/>
      <c r="O93" s="244" t="s">
        <v>274</v>
      </c>
      <c r="P93" s="245">
        <f>G93*I93*K93</f>
        <v>3600000</v>
      </c>
      <c r="Q93" s="235"/>
      <c r="R93" s="997"/>
      <c r="S93" s="235"/>
      <c r="T93" s="246"/>
    </row>
    <row r="94" spans="1:23" ht="15" customHeight="1">
      <c r="A94" s="224"/>
      <c r="B94" s="225"/>
      <c r="C94" s="226"/>
      <c r="D94" s="225"/>
      <c r="E94" s="66" t="s">
        <v>521</v>
      </c>
      <c r="F94" s="227"/>
      <c r="G94" s="228"/>
      <c r="H94" s="66"/>
      <c r="I94" s="66"/>
      <c r="J94" s="66"/>
      <c r="K94" s="66"/>
      <c r="L94" s="229"/>
      <c r="M94" s="66"/>
      <c r="N94" s="230"/>
      <c r="O94" s="230"/>
      <c r="P94" s="66"/>
      <c r="Q94" s="171">
        <f>ROUNDUP(SUM(P95,P97),-3)</f>
        <v>2880000</v>
      </c>
      <c r="R94" s="171">
        <v>2280000</v>
      </c>
      <c r="S94" s="171">
        <f>Q94-R94</f>
        <v>600000</v>
      </c>
      <c r="T94" s="172">
        <f>S94/R94</f>
        <v>0.26315789473684209</v>
      </c>
    </row>
    <row r="95" spans="1:23" ht="15" customHeight="1">
      <c r="A95" s="224"/>
      <c r="B95" s="225"/>
      <c r="C95" s="226"/>
      <c r="D95" s="225"/>
      <c r="E95" s="226"/>
      <c r="F95" s="231" t="s">
        <v>870</v>
      </c>
      <c r="G95" s="249"/>
      <c r="H95" s="240"/>
      <c r="I95" s="240"/>
      <c r="J95" s="240"/>
      <c r="K95" s="240"/>
      <c r="L95" s="250"/>
      <c r="M95" s="240"/>
      <c r="N95" s="244"/>
      <c r="O95" s="244"/>
      <c r="P95" s="251">
        <f>SUM(P96:P96)</f>
        <v>2280000</v>
      </c>
      <c r="Q95" s="235"/>
      <c r="R95" s="997"/>
      <c r="S95" s="235"/>
      <c r="T95" s="246"/>
    </row>
    <row r="96" spans="1:23" ht="15" customHeight="1">
      <c r="A96" s="224"/>
      <c r="B96" s="225"/>
      <c r="C96" s="226"/>
      <c r="D96" s="225"/>
      <c r="E96" s="237"/>
      <c r="F96" s="238" t="s">
        <v>662</v>
      </c>
      <c r="G96" s="252">
        <v>190000</v>
      </c>
      <c r="H96" s="240" t="s">
        <v>277</v>
      </c>
      <c r="I96" s="242">
        <v>12</v>
      </c>
      <c r="J96" s="240"/>
      <c r="K96" s="242"/>
      <c r="L96" s="243"/>
      <c r="M96" s="242"/>
      <c r="N96" s="244"/>
      <c r="O96" s="244" t="s">
        <v>274</v>
      </c>
      <c r="P96" s="245">
        <f>ROUNDUP(G96*I96,-3)</f>
        <v>2280000</v>
      </c>
      <c r="Q96" s="235"/>
      <c r="R96" s="997"/>
      <c r="S96" s="235"/>
      <c r="T96" s="246"/>
    </row>
    <row r="97" spans="1:23" ht="15" customHeight="1">
      <c r="A97" s="224"/>
      <c r="B97" s="225"/>
      <c r="C97" s="226"/>
      <c r="D97" s="225"/>
      <c r="E97" s="226"/>
      <c r="F97" s="231" t="s">
        <v>389</v>
      </c>
      <c r="G97" s="249"/>
      <c r="H97" s="240"/>
      <c r="I97" s="240"/>
      <c r="J97" s="240"/>
      <c r="K97" s="240"/>
      <c r="L97" s="250"/>
      <c r="M97" s="240"/>
      <c r="N97" s="244"/>
      <c r="O97" s="244"/>
      <c r="P97" s="251">
        <f>SUM(P98:P98)</f>
        <v>600000</v>
      </c>
      <c r="Q97" s="235"/>
      <c r="R97" s="997"/>
      <c r="S97" s="235"/>
      <c r="T97" s="246"/>
    </row>
    <row r="98" spans="1:23" ht="15" customHeight="1">
      <c r="A98" s="224"/>
      <c r="B98" s="225"/>
      <c r="C98" s="226"/>
      <c r="D98" s="225"/>
      <c r="E98" s="237"/>
      <c r="F98" s="238" t="s">
        <v>1468</v>
      </c>
      <c r="G98" s="252">
        <v>50000</v>
      </c>
      <c r="H98" s="240" t="s">
        <v>277</v>
      </c>
      <c r="I98" s="242">
        <v>12</v>
      </c>
      <c r="J98" s="240"/>
      <c r="K98" s="242"/>
      <c r="L98" s="243"/>
      <c r="M98" s="242"/>
      <c r="N98" s="244"/>
      <c r="O98" s="244" t="s">
        <v>274</v>
      </c>
      <c r="P98" s="245">
        <f>ROUNDUP(G98*I98,-3)</f>
        <v>600000</v>
      </c>
      <c r="Q98" s="235"/>
      <c r="R98" s="997"/>
      <c r="S98" s="235"/>
      <c r="T98" s="246"/>
    </row>
    <row r="99" spans="1:23" ht="15" customHeight="1">
      <c r="A99" s="224"/>
      <c r="B99" s="225"/>
      <c r="C99" s="226"/>
      <c r="D99" s="225"/>
      <c r="E99" s="66" t="s">
        <v>1467</v>
      </c>
      <c r="F99" s="227"/>
      <c r="G99" s="228"/>
      <c r="H99" s="66"/>
      <c r="I99" s="66"/>
      <c r="J99" s="66"/>
      <c r="K99" s="66"/>
      <c r="L99" s="229"/>
      <c r="M99" s="66"/>
      <c r="N99" s="230"/>
      <c r="O99" s="230"/>
      <c r="P99" s="66"/>
      <c r="Q99" s="171">
        <f>ROUNDUP(SUM(P100,),-3)</f>
        <v>400000</v>
      </c>
      <c r="R99" s="171">
        <v>400000</v>
      </c>
      <c r="S99" s="171">
        <f>Q99-R99</f>
        <v>0</v>
      </c>
      <c r="T99" s="172">
        <f>S99/R99</f>
        <v>0</v>
      </c>
    </row>
    <row r="100" spans="1:23" ht="15" customHeight="1">
      <c r="A100" s="224"/>
      <c r="B100" s="225"/>
      <c r="C100" s="226"/>
      <c r="D100" s="225"/>
      <c r="E100" s="226"/>
      <c r="F100" s="231" t="s">
        <v>669</v>
      </c>
      <c r="G100" s="249"/>
      <c r="H100" s="240"/>
      <c r="I100" s="240"/>
      <c r="J100" s="240"/>
      <c r="K100" s="240"/>
      <c r="L100" s="250"/>
      <c r="M100" s="240"/>
      <c r="N100" s="244"/>
      <c r="O100" s="244"/>
      <c r="P100" s="251">
        <f>SUM(P101:P101)</f>
        <v>400000</v>
      </c>
      <c r="Q100" s="235"/>
      <c r="R100" s="997"/>
      <c r="S100" s="235"/>
      <c r="T100" s="246"/>
    </row>
    <row r="101" spans="1:23" ht="15" customHeight="1">
      <c r="A101" s="224"/>
      <c r="B101" s="225"/>
      <c r="C101" s="226"/>
      <c r="D101" s="225"/>
      <c r="E101" s="1399"/>
      <c r="F101" s="238" t="s">
        <v>397</v>
      </c>
      <c r="G101" s="252">
        <v>50000</v>
      </c>
      <c r="H101" s="240" t="s">
        <v>277</v>
      </c>
      <c r="I101" s="256">
        <v>8</v>
      </c>
      <c r="J101" s="240"/>
      <c r="K101" s="242"/>
      <c r="L101" s="243"/>
      <c r="M101" s="242"/>
      <c r="N101" s="244"/>
      <c r="O101" s="244" t="s">
        <v>925</v>
      </c>
      <c r="P101" s="245">
        <f>ROUNDUP(G101*I101,-3)</f>
        <v>400000</v>
      </c>
      <c r="Q101" s="235"/>
      <c r="R101" s="997"/>
      <c r="S101" s="235"/>
      <c r="T101" s="246"/>
    </row>
    <row r="102" spans="1:23" ht="15" customHeight="1">
      <c r="A102" s="224"/>
      <c r="B102" s="225"/>
      <c r="C102" s="226"/>
      <c r="D102" s="225"/>
      <c r="E102" s="255" t="s">
        <v>444</v>
      </c>
      <c r="F102" s="227"/>
      <c r="G102" s="228"/>
      <c r="H102" s="66"/>
      <c r="I102" s="66"/>
      <c r="J102" s="66"/>
      <c r="K102" s="66"/>
      <c r="L102" s="229"/>
      <c r="M102" s="66"/>
      <c r="N102" s="230"/>
      <c r="O102" s="230"/>
      <c r="P102" s="66"/>
      <c r="Q102" s="171">
        <f>ROUNDUP(SUM(P103,),-3)</f>
        <v>2100000</v>
      </c>
      <c r="R102" s="171">
        <v>0</v>
      </c>
      <c r="S102" s="171">
        <f>Q102-R102</f>
        <v>2100000</v>
      </c>
      <c r="T102" s="172">
        <v>1</v>
      </c>
    </row>
    <row r="103" spans="1:23" ht="15" customHeight="1">
      <c r="A103" s="224"/>
      <c r="B103" s="225"/>
      <c r="C103" s="226"/>
      <c r="D103" s="225"/>
      <c r="E103" s="521"/>
      <c r="F103" s="231" t="s">
        <v>445</v>
      </c>
      <c r="G103" s="249"/>
      <c r="H103" s="240"/>
      <c r="I103" s="240"/>
      <c r="J103" s="240"/>
      <c r="K103" s="240"/>
      <c r="L103" s="250"/>
      <c r="M103" s="240"/>
      <c r="N103" s="244"/>
      <c r="O103" s="244"/>
      <c r="P103" s="251">
        <f>SUM(P104:P104)</f>
        <v>2100000</v>
      </c>
      <c r="Q103" s="235"/>
      <c r="R103" s="997"/>
      <c r="S103" s="235"/>
      <c r="T103" s="246"/>
    </row>
    <row r="104" spans="1:23" ht="15" customHeight="1">
      <c r="A104" s="224"/>
      <c r="B104" s="225"/>
      <c r="C104" s="226"/>
      <c r="D104" s="225"/>
      <c r="E104" s="1400"/>
      <c r="F104" s="578" t="s">
        <v>446</v>
      </c>
      <c r="G104" s="579">
        <v>70000</v>
      </c>
      <c r="H104" s="283" t="s">
        <v>277</v>
      </c>
      <c r="I104" s="1118">
        <v>15</v>
      </c>
      <c r="J104" s="283" t="s">
        <v>109</v>
      </c>
      <c r="K104" s="592">
        <v>2</v>
      </c>
      <c r="L104" s="1402"/>
      <c r="M104" s="284"/>
      <c r="N104" s="285"/>
      <c r="O104" s="285" t="s">
        <v>283</v>
      </c>
      <c r="P104" s="286">
        <f>ROUNDUP(G104*I104*K104,-3)</f>
        <v>2100000</v>
      </c>
      <c r="Q104" s="287"/>
      <c r="R104" s="1027"/>
      <c r="S104" s="287"/>
      <c r="T104" s="288"/>
    </row>
    <row r="105" spans="1:23" ht="15" customHeight="1">
      <c r="A105" s="224"/>
      <c r="B105" s="225"/>
      <c r="C105" s="226"/>
      <c r="D105" s="225"/>
      <c r="E105" s="363" t="s">
        <v>401</v>
      </c>
      <c r="F105" s="364"/>
      <c r="G105" s="365"/>
      <c r="H105" s="363"/>
      <c r="I105" s="363"/>
      <c r="J105" s="363"/>
      <c r="K105" s="363"/>
      <c r="L105" s="366"/>
      <c r="M105" s="363"/>
      <c r="N105" s="367"/>
      <c r="O105" s="367"/>
      <c r="P105" s="363"/>
      <c r="Q105" s="188">
        <f>ROUNDUP(SUM(P106,),-3)</f>
        <v>48000</v>
      </c>
      <c r="R105" s="188">
        <v>48000</v>
      </c>
      <c r="S105" s="188">
        <f>Q105-R105</f>
        <v>0</v>
      </c>
      <c r="T105" s="570">
        <f>S105/R105</f>
        <v>0</v>
      </c>
    </row>
    <row r="106" spans="1:23" ht="15" customHeight="1">
      <c r="A106" s="224"/>
      <c r="B106" s="225"/>
      <c r="C106" s="226"/>
      <c r="D106" s="225"/>
      <c r="E106" s="226"/>
      <c r="F106" s="231" t="s">
        <v>402</v>
      </c>
      <c r="G106" s="249"/>
      <c r="H106" s="240"/>
      <c r="I106" s="240"/>
      <c r="J106" s="240"/>
      <c r="K106" s="240"/>
      <c r="L106" s="250"/>
      <c r="M106" s="240"/>
      <c r="N106" s="244"/>
      <c r="O106" s="244"/>
      <c r="P106" s="251">
        <f>SUM(P107:P107)</f>
        <v>48000</v>
      </c>
      <c r="Q106" s="235"/>
      <c r="R106" s="997"/>
      <c r="S106" s="235"/>
      <c r="T106" s="246"/>
    </row>
    <row r="107" spans="1:23" ht="15" customHeight="1">
      <c r="A107" s="576"/>
      <c r="B107" s="278"/>
      <c r="C107" s="279"/>
      <c r="D107" s="278"/>
      <c r="E107" s="577"/>
      <c r="F107" s="578" t="s">
        <v>1466</v>
      </c>
      <c r="G107" s="579">
        <v>24000</v>
      </c>
      <c r="H107" s="283" t="s">
        <v>277</v>
      </c>
      <c r="I107" s="592">
        <v>2</v>
      </c>
      <c r="J107" s="283"/>
      <c r="K107" s="284"/>
      <c r="L107" s="1402"/>
      <c r="M107" s="284"/>
      <c r="N107" s="285"/>
      <c r="O107" s="285" t="s">
        <v>283</v>
      </c>
      <c r="P107" s="286">
        <f>ROUNDUP(G107*I107,-3)</f>
        <v>48000</v>
      </c>
      <c r="Q107" s="287"/>
      <c r="R107" s="1027"/>
      <c r="S107" s="287"/>
      <c r="T107" s="288"/>
    </row>
    <row r="108" spans="1:23" ht="15" customHeight="1">
      <c r="A108" s="224"/>
      <c r="B108" s="225"/>
      <c r="C108" s="226"/>
      <c r="D108" s="225"/>
      <c r="E108" s="363" t="s">
        <v>404</v>
      </c>
      <c r="F108" s="364"/>
      <c r="G108" s="365"/>
      <c r="H108" s="363"/>
      <c r="I108" s="363"/>
      <c r="J108" s="363"/>
      <c r="K108" s="363"/>
      <c r="L108" s="366"/>
      <c r="M108" s="363"/>
      <c r="N108" s="367"/>
      <c r="O108" s="367"/>
      <c r="P108" s="363"/>
      <c r="Q108" s="188">
        <f>ROUNDUP(SUM(P109),-3)</f>
        <v>6465000</v>
      </c>
      <c r="R108" s="188">
        <v>6464400</v>
      </c>
      <c r="S108" s="188">
        <f>Q108-R108</f>
        <v>600</v>
      </c>
      <c r="T108" s="570">
        <f>S108/R108</f>
        <v>9.2816038611472066E-5</v>
      </c>
      <c r="W108" s="275"/>
    </row>
    <row r="109" spans="1:23" ht="15" customHeight="1">
      <c r="A109" s="224"/>
      <c r="B109" s="225"/>
      <c r="C109" s="226"/>
      <c r="D109" s="225"/>
      <c r="E109" s="226"/>
      <c r="F109" s="231" t="s">
        <v>405</v>
      </c>
      <c r="G109" s="249"/>
      <c r="H109" s="240"/>
      <c r="I109" s="240"/>
      <c r="J109" s="240"/>
      <c r="K109" s="240"/>
      <c r="L109" s="250"/>
      <c r="M109" s="240"/>
      <c r="N109" s="244"/>
      <c r="O109" s="244"/>
      <c r="P109" s="251">
        <f>SUM(P110:P113)</f>
        <v>6465000</v>
      </c>
      <c r="Q109" s="235"/>
      <c r="R109" s="997"/>
      <c r="S109" s="235"/>
      <c r="T109" s="246"/>
    </row>
    <row r="110" spans="1:23" ht="15" customHeight="1">
      <c r="A110" s="224"/>
      <c r="B110" s="225"/>
      <c r="C110" s="226"/>
      <c r="D110" s="225"/>
      <c r="E110" s="237"/>
      <c r="F110" s="238" t="s">
        <v>406</v>
      </c>
      <c r="G110" s="252">
        <v>88000</v>
      </c>
      <c r="H110" s="240" t="s">
        <v>277</v>
      </c>
      <c r="I110" s="1552">
        <v>2</v>
      </c>
      <c r="J110" s="240" t="s">
        <v>109</v>
      </c>
      <c r="K110" s="242">
        <v>12</v>
      </c>
      <c r="L110" s="243"/>
      <c r="M110" s="242"/>
      <c r="N110" s="244"/>
      <c r="O110" s="244" t="s">
        <v>283</v>
      </c>
      <c r="P110" s="245">
        <f>ROUNDUP(G110*I110*K110,-3)</f>
        <v>2112000</v>
      </c>
      <c r="Q110" s="235"/>
      <c r="R110" s="997"/>
      <c r="S110" s="235"/>
      <c r="T110" s="246"/>
    </row>
    <row r="111" spans="1:23" ht="15" customHeight="1">
      <c r="A111" s="224"/>
      <c r="B111" s="225"/>
      <c r="C111" s="226"/>
      <c r="D111" s="225"/>
      <c r="E111" s="247"/>
      <c r="F111" s="248" t="s">
        <v>1465</v>
      </c>
      <c r="G111" s="249">
        <v>300000</v>
      </c>
      <c r="H111" s="240" t="s">
        <v>277</v>
      </c>
      <c r="I111" s="1552">
        <v>1</v>
      </c>
      <c r="J111" s="240" t="s">
        <v>109</v>
      </c>
      <c r="K111" s="242">
        <v>12</v>
      </c>
      <c r="L111" s="243"/>
      <c r="M111" s="242"/>
      <c r="N111" s="244"/>
      <c r="O111" s="244" t="s">
        <v>283</v>
      </c>
      <c r="P111" s="245">
        <f>ROUNDUP(G111*I111*K111,-3)</f>
        <v>3600000</v>
      </c>
      <c r="Q111" s="235"/>
      <c r="R111" s="997"/>
      <c r="S111" s="235"/>
      <c r="T111" s="246"/>
    </row>
    <row r="112" spans="1:23" ht="15" customHeight="1">
      <c r="A112" s="224"/>
      <c r="B112" s="225"/>
      <c r="C112" s="226"/>
      <c r="D112" s="225"/>
      <c r="E112" s="247"/>
      <c r="F112" s="248" t="s">
        <v>408</v>
      </c>
      <c r="G112" s="249">
        <v>40000</v>
      </c>
      <c r="H112" s="240" t="s">
        <v>277</v>
      </c>
      <c r="I112" s="1552">
        <v>1</v>
      </c>
      <c r="J112" s="240" t="s">
        <v>109</v>
      </c>
      <c r="K112" s="242">
        <v>12</v>
      </c>
      <c r="L112" s="243"/>
      <c r="M112" s="242"/>
      <c r="N112" s="244"/>
      <c r="O112" s="244" t="s">
        <v>283</v>
      </c>
      <c r="P112" s="245">
        <f>ROUNDUP(G112*I112*K112,-3)</f>
        <v>480000</v>
      </c>
      <c r="Q112" s="235"/>
      <c r="R112" s="997"/>
      <c r="S112" s="235"/>
      <c r="T112" s="246"/>
    </row>
    <row r="113" spans="1:23" ht="15" customHeight="1">
      <c r="A113" s="224"/>
      <c r="B113" s="225"/>
      <c r="C113" s="226"/>
      <c r="D113" s="225"/>
      <c r="E113" s="247"/>
      <c r="F113" s="248" t="s">
        <v>409</v>
      </c>
      <c r="G113" s="249">
        <v>22700</v>
      </c>
      <c r="H113" s="240" t="s">
        <v>277</v>
      </c>
      <c r="I113" s="1552">
        <v>1</v>
      </c>
      <c r="J113" s="240" t="s">
        <v>109</v>
      </c>
      <c r="K113" s="242">
        <v>12</v>
      </c>
      <c r="L113" s="243"/>
      <c r="M113" s="242"/>
      <c r="N113" s="244"/>
      <c r="O113" s="244" t="s">
        <v>283</v>
      </c>
      <c r="P113" s="245">
        <f>ROUNDUP(G113*I113*K113,-3)</f>
        <v>273000</v>
      </c>
      <c r="Q113" s="235"/>
      <c r="R113" s="997"/>
      <c r="S113" s="235"/>
      <c r="T113" s="246"/>
    </row>
    <row r="114" spans="1:23" ht="15" customHeight="1">
      <c r="A114" s="224"/>
      <c r="B114" s="225"/>
      <c r="C114" s="226"/>
      <c r="D114" s="225"/>
      <c r="E114" s="66" t="s">
        <v>410</v>
      </c>
      <c r="F114" s="227"/>
      <c r="G114" s="228"/>
      <c r="H114" s="66"/>
      <c r="I114" s="66"/>
      <c r="J114" s="66"/>
      <c r="K114" s="66"/>
      <c r="L114" s="229"/>
      <c r="M114" s="66"/>
      <c r="N114" s="230"/>
      <c r="O114" s="230"/>
      <c r="P114" s="66"/>
      <c r="Q114" s="171">
        <f>ROUNDUP(SUM(P115+P117),-3)</f>
        <v>5276000</v>
      </c>
      <c r="R114" s="171">
        <v>0</v>
      </c>
      <c r="S114" s="171">
        <f>Q114-R114</f>
        <v>5276000</v>
      </c>
      <c r="T114" s="172">
        <v>1</v>
      </c>
    </row>
    <row r="115" spans="1:23" ht="15" customHeight="1">
      <c r="A115" s="224"/>
      <c r="B115" s="225"/>
      <c r="C115" s="226"/>
      <c r="D115" s="225"/>
      <c r="E115" s="226"/>
      <c r="F115" s="231" t="s">
        <v>674</v>
      </c>
      <c r="G115" s="249"/>
      <c r="H115" s="240"/>
      <c r="I115" s="240"/>
      <c r="J115" s="240"/>
      <c r="K115" s="240"/>
      <c r="L115" s="250"/>
      <c r="M115" s="240"/>
      <c r="N115" s="244"/>
      <c r="O115" s="244"/>
      <c r="P115" s="251">
        <f>SUM(P116:P116)</f>
        <v>5000000</v>
      </c>
      <c r="Q115" s="235"/>
      <c r="R115" s="997"/>
      <c r="S115" s="235"/>
      <c r="T115" s="246"/>
      <c r="W115" s="275"/>
    </row>
    <row r="116" spans="1:23" ht="15" customHeight="1">
      <c r="A116" s="224"/>
      <c r="B116" s="225"/>
      <c r="C116" s="226"/>
      <c r="D116" s="225"/>
      <c r="E116" s="237"/>
      <c r="F116" s="238" t="s">
        <v>1464</v>
      </c>
      <c r="G116" s="252">
        <v>1250000</v>
      </c>
      <c r="H116" s="240" t="s">
        <v>277</v>
      </c>
      <c r="I116" s="256">
        <v>4</v>
      </c>
      <c r="J116" s="240"/>
      <c r="K116" s="242"/>
      <c r="L116" s="243"/>
      <c r="M116" s="242"/>
      <c r="N116" s="244"/>
      <c r="O116" s="244" t="s">
        <v>283</v>
      </c>
      <c r="P116" s="245">
        <f>ROUNDUP(G116*I116,-3)</f>
        <v>5000000</v>
      </c>
      <c r="Q116" s="235"/>
      <c r="R116" s="997"/>
      <c r="S116" s="235"/>
      <c r="T116" s="246"/>
    </row>
    <row r="117" spans="1:23" ht="15" customHeight="1">
      <c r="A117" s="224"/>
      <c r="B117" s="225"/>
      <c r="C117" s="226"/>
      <c r="D117" s="225"/>
      <c r="E117" s="226"/>
      <c r="F117" s="231" t="s">
        <v>674</v>
      </c>
      <c r="G117" s="249"/>
      <c r="H117" s="240"/>
      <c r="I117" s="240"/>
      <c r="J117" s="240"/>
      <c r="K117" s="240"/>
      <c r="L117" s="250"/>
      <c r="M117" s="240"/>
      <c r="N117" s="244"/>
      <c r="O117" s="244"/>
      <c r="P117" s="251">
        <f>SUM(P118:P118)</f>
        <v>276000</v>
      </c>
      <c r="Q117" s="235"/>
      <c r="R117" s="997"/>
      <c r="S117" s="235"/>
      <c r="T117" s="246"/>
    </row>
    <row r="118" spans="1:23" ht="15" customHeight="1">
      <c r="A118" s="224"/>
      <c r="B118" s="225"/>
      <c r="C118" s="226"/>
      <c r="D118" s="225"/>
      <c r="E118" s="237"/>
      <c r="F118" s="238" t="s">
        <v>418</v>
      </c>
      <c r="G118" s="252">
        <v>23000</v>
      </c>
      <c r="H118" s="240" t="s">
        <v>277</v>
      </c>
      <c r="I118" s="242">
        <v>12</v>
      </c>
      <c r="J118" s="240"/>
      <c r="K118" s="242"/>
      <c r="L118" s="243"/>
      <c r="M118" s="242"/>
      <c r="N118" s="244"/>
      <c r="O118" s="244" t="s">
        <v>283</v>
      </c>
      <c r="P118" s="245">
        <f>ROUNDUP(G118*I118,-3)</f>
        <v>276000</v>
      </c>
      <c r="Q118" s="235"/>
      <c r="R118" s="997"/>
      <c r="S118" s="235"/>
      <c r="T118" s="246"/>
    </row>
    <row r="119" spans="1:23" ht="15" customHeight="1">
      <c r="A119" s="224"/>
      <c r="B119" s="225"/>
      <c r="C119" s="226"/>
      <c r="D119" s="225"/>
      <c r="E119" s="66" t="s">
        <v>414</v>
      </c>
      <c r="F119" s="227"/>
      <c r="G119" s="228"/>
      <c r="H119" s="66"/>
      <c r="I119" s="66"/>
      <c r="J119" s="66"/>
      <c r="K119" s="66"/>
      <c r="L119" s="229"/>
      <c r="M119" s="66"/>
      <c r="N119" s="230"/>
      <c r="O119" s="230"/>
      <c r="P119" s="66"/>
      <c r="Q119" s="171">
        <f>ROUNDUP(SUM(P120),-3)</f>
        <v>405000</v>
      </c>
      <c r="R119" s="171">
        <v>0</v>
      </c>
      <c r="S119" s="171">
        <f>Q119-R119</f>
        <v>405000</v>
      </c>
      <c r="T119" s="172">
        <v>1</v>
      </c>
    </row>
    <row r="120" spans="1:23" ht="15" customHeight="1">
      <c r="A120" s="224"/>
      <c r="B120" s="225"/>
      <c r="C120" s="226"/>
      <c r="D120" s="225"/>
      <c r="E120" s="257"/>
      <c r="F120" s="258" t="s">
        <v>825</v>
      </c>
      <c r="G120" s="259"/>
      <c r="H120" s="260"/>
      <c r="I120" s="260"/>
      <c r="J120" s="260"/>
      <c r="K120" s="260"/>
      <c r="L120" s="1553"/>
      <c r="M120" s="260"/>
      <c r="N120" s="261"/>
      <c r="O120" s="261"/>
      <c r="P120" s="262">
        <f>SUM(P121:P122)</f>
        <v>405000</v>
      </c>
      <c r="Q120" s="263"/>
      <c r="R120" s="1004"/>
      <c r="S120" s="263"/>
      <c r="T120" s="264"/>
    </row>
    <row r="121" spans="1:23" ht="15" customHeight="1">
      <c r="A121" s="224"/>
      <c r="B121" s="225"/>
      <c r="C121" s="226"/>
      <c r="D121" s="225"/>
      <c r="E121" s="247"/>
      <c r="F121" s="248" t="s">
        <v>526</v>
      </c>
      <c r="G121" s="249">
        <v>10000</v>
      </c>
      <c r="H121" s="240" t="s">
        <v>277</v>
      </c>
      <c r="I121" s="241">
        <v>15</v>
      </c>
      <c r="J121" s="240"/>
      <c r="K121" s="242"/>
      <c r="L121" s="243"/>
      <c r="M121" s="242"/>
      <c r="N121" s="244"/>
      <c r="O121" s="244" t="s">
        <v>283</v>
      </c>
      <c r="P121" s="245">
        <f>ROUNDUP(G121*I121,-3)</f>
        <v>150000</v>
      </c>
      <c r="Q121" s="235"/>
      <c r="R121" s="997"/>
      <c r="S121" s="235"/>
      <c r="T121" s="246"/>
    </row>
    <row r="122" spans="1:23" ht="15" customHeight="1">
      <c r="A122" s="224"/>
      <c r="B122" s="225"/>
      <c r="C122" s="226"/>
      <c r="D122" s="225"/>
      <c r="E122" s="247"/>
      <c r="F122" s="248" t="s">
        <v>1463</v>
      </c>
      <c r="G122" s="249">
        <v>17000</v>
      </c>
      <c r="H122" s="240" t="s">
        <v>277</v>
      </c>
      <c r="I122" s="241">
        <v>15</v>
      </c>
      <c r="J122" s="240"/>
      <c r="K122" s="242"/>
      <c r="L122" s="243"/>
      <c r="M122" s="242"/>
      <c r="N122" s="244"/>
      <c r="O122" s="285" t="s">
        <v>283</v>
      </c>
      <c r="P122" s="286">
        <f>ROUNDUP(G122*I122,-3)</f>
        <v>255000</v>
      </c>
      <c r="Q122" s="287"/>
      <c r="R122" s="1027"/>
      <c r="S122" s="287"/>
      <c r="T122" s="246"/>
      <c r="W122" s="275"/>
    </row>
    <row r="123" spans="1:23" ht="15" customHeight="1">
      <c r="A123" s="224"/>
      <c r="B123" s="225"/>
      <c r="C123" s="226"/>
      <c r="D123" s="225"/>
      <c r="E123" s="66" t="s">
        <v>417</v>
      </c>
      <c r="F123" s="227"/>
      <c r="G123" s="228"/>
      <c r="H123" s="66"/>
      <c r="I123" s="66"/>
      <c r="J123" s="66"/>
      <c r="K123" s="66"/>
      <c r="L123" s="229"/>
      <c r="M123" s="66"/>
      <c r="N123" s="230"/>
      <c r="O123" s="367"/>
      <c r="P123" s="363"/>
      <c r="Q123" s="188">
        <f>ROUNDUP(SUM(P124,),-3)</f>
        <v>480000</v>
      </c>
      <c r="R123" s="188">
        <v>480000</v>
      </c>
      <c r="S123" s="188">
        <f>Q123-R123</f>
        <v>0</v>
      </c>
      <c r="T123" s="172">
        <f>S123/R123</f>
        <v>0</v>
      </c>
    </row>
    <row r="124" spans="1:23" ht="15" customHeight="1">
      <c r="A124" s="224"/>
      <c r="B124" s="225"/>
      <c r="C124" s="226"/>
      <c r="D124" s="225"/>
      <c r="E124" s="226"/>
      <c r="F124" s="231" t="s">
        <v>447</v>
      </c>
      <c r="G124" s="249"/>
      <c r="H124" s="240"/>
      <c r="I124" s="240"/>
      <c r="J124" s="240"/>
      <c r="K124" s="240"/>
      <c r="L124" s="250"/>
      <c r="M124" s="240"/>
      <c r="N124" s="244"/>
      <c r="O124" s="244"/>
      <c r="P124" s="251">
        <f>SUM(P125:P125)</f>
        <v>480000</v>
      </c>
      <c r="Q124" s="235"/>
      <c r="R124" s="997"/>
      <c r="S124" s="235"/>
      <c r="T124" s="246"/>
    </row>
    <row r="125" spans="1:23" ht="15" customHeight="1">
      <c r="A125" s="224"/>
      <c r="B125" s="225"/>
      <c r="C125" s="226"/>
      <c r="D125" s="225"/>
      <c r="E125" s="237"/>
      <c r="F125" s="238" t="s">
        <v>688</v>
      </c>
      <c r="G125" s="252">
        <v>40000</v>
      </c>
      <c r="H125" s="240" t="s">
        <v>277</v>
      </c>
      <c r="I125" s="242">
        <v>12</v>
      </c>
      <c r="J125" s="240"/>
      <c r="K125" s="242"/>
      <c r="L125" s="243"/>
      <c r="M125" s="242"/>
      <c r="N125" s="244"/>
      <c r="O125" s="244" t="s">
        <v>283</v>
      </c>
      <c r="P125" s="245">
        <f>ROUNDUP(G125*I125,-3)</f>
        <v>480000</v>
      </c>
      <c r="Q125" s="235"/>
      <c r="R125" s="997"/>
      <c r="S125" s="235"/>
      <c r="T125" s="246"/>
    </row>
    <row r="126" spans="1:23" ht="15" customHeight="1">
      <c r="A126" s="224"/>
      <c r="B126" s="225"/>
      <c r="C126" s="226"/>
      <c r="D126" s="225"/>
      <c r="E126" s="66" t="s">
        <v>537</v>
      </c>
      <c r="F126" s="227"/>
      <c r="G126" s="228"/>
      <c r="H126" s="66"/>
      <c r="I126" s="66"/>
      <c r="J126" s="66"/>
      <c r="K126" s="66"/>
      <c r="L126" s="229"/>
      <c r="M126" s="66"/>
      <c r="N126" s="230"/>
      <c r="O126" s="230"/>
      <c r="P126" s="66"/>
      <c r="Q126" s="171">
        <f>ROUNDUP(SUM(P127),-3)</f>
        <v>7200000</v>
      </c>
      <c r="R126" s="171">
        <v>3000000</v>
      </c>
      <c r="S126" s="171">
        <f>Q126-R126</f>
        <v>4200000</v>
      </c>
      <c r="T126" s="172">
        <f>S126/R126</f>
        <v>1.4</v>
      </c>
      <c r="W126" s="275"/>
    </row>
    <row r="127" spans="1:23" ht="15" customHeight="1">
      <c r="A127" s="224"/>
      <c r="B127" s="225"/>
      <c r="C127" s="226"/>
      <c r="D127" s="225"/>
      <c r="E127" s="226"/>
      <c r="F127" s="231" t="s">
        <v>1462</v>
      </c>
      <c r="G127" s="249"/>
      <c r="H127" s="240"/>
      <c r="I127" s="240"/>
      <c r="J127" s="240"/>
      <c r="K127" s="240"/>
      <c r="L127" s="250"/>
      <c r="M127" s="240"/>
      <c r="N127" s="244"/>
      <c r="O127" s="244"/>
      <c r="P127" s="251">
        <f>SUM(P128:P129)</f>
        <v>7200000</v>
      </c>
      <c r="Q127" s="235"/>
      <c r="R127" s="997"/>
      <c r="S127" s="235"/>
      <c r="T127" s="246"/>
    </row>
    <row r="128" spans="1:23" ht="15" customHeight="1">
      <c r="A128" s="224"/>
      <c r="B128" s="225"/>
      <c r="C128" s="226"/>
      <c r="D128" s="225"/>
      <c r="E128" s="237"/>
      <c r="F128" s="238" t="s">
        <v>1461</v>
      </c>
      <c r="G128" s="252">
        <v>500000</v>
      </c>
      <c r="H128" s="240" t="s">
        <v>277</v>
      </c>
      <c r="I128" s="241">
        <v>1</v>
      </c>
      <c r="J128" s="240" t="s">
        <v>109</v>
      </c>
      <c r="K128" s="242">
        <v>12</v>
      </c>
      <c r="L128" s="243"/>
      <c r="M128" s="242"/>
      <c r="N128" s="244"/>
      <c r="O128" s="244" t="s">
        <v>283</v>
      </c>
      <c r="P128" s="245">
        <f>ROUNDUP(G128*I128*K128,-3)</f>
        <v>6000000</v>
      </c>
      <c r="Q128" s="235"/>
      <c r="R128" s="997"/>
      <c r="S128" s="235"/>
      <c r="T128" s="246"/>
    </row>
    <row r="129" spans="1:23" ht="15" customHeight="1">
      <c r="A129" s="224"/>
      <c r="B129" s="225"/>
      <c r="C129" s="226"/>
      <c r="D129" s="225"/>
      <c r="E129" s="237"/>
      <c r="F129" s="238" t="s">
        <v>1460</v>
      </c>
      <c r="G129" s="252">
        <v>100000</v>
      </c>
      <c r="H129" s="240" t="s">
        <v>277</v>
      </c>
      <c r="I129" s="241">
        <v>1</v>
      </c>
      <c r="J129" s="240" t="s">
        <v>109</v>
      </c>
      <c r="K129" s="242">
        <v>12</v>
      </c>
      <c r="L129" s="243"/>
      <c r="M129" s="242"/>
      <c r="N129" s="244"/>
      <c r="O129" s="244" t="s">
        <v>925</v>
      </c>
      <c r="P129" s="286">
        <f>ROUNDUP(G129*I129*K129,-3)</f>
        <v>1200000</v>
      </c>
      <c r="Q129" s="287"/>
      <c r="R129" s="1027"/>
      <c r="S129" s="235"/>
      <c r="T129" s="246"/>
    </row>
    <row r="130" spans="1:23" ht="15" customHeight="1">
      <c r="A130" s="224"/>
      <c r="B130" s="225"/>
      <c r="C130" s="226"/>
      <c r="D130" s="225"/>
      <c r="E130" s="66" t="s">
        <v>689</v>
      </c>
      <c r="F130" s="227"/>
      <c r="G130" s="228"/>
      <c r="H130" s="66"/>
      <c r="I130" s="66"/>
      <c r="J130" s="66"/>
      <c r="K130" s="66"/>
      <c r="L130" s="229"/>
      <c r="M130" s="66"/>
      <c r="N130" s="230"/>
      <c r="O130" s="230"/>
      <c r="P130" s="363"/>
      <c r="Q130" s="188">
        <f>ROUNDUP(SUM(P131,),-3)</f>
        <v>828000</v>
      </c>
      <c r="R130" s="188">
        <v>807900</v>
      </c>
      <c r="S130" s="171">
        <f>Q130-R130</f>
        <v>20100</v>
      </c>
      <c r="T130" s="172">
        <f>S130/R130</f>
        <v>2.4879316747122168E-2</v>
      </c>
    </row>
    <row r="131" spans="1:23" ht="15" customHeight="1">
      <c r="A131" s="224"/>
      <c r="B131" s="225"/>
      <c r="C131" s="226"/>
      <c r="D131" s="225"/>
      <c r="E131" s="226"/>
      <c r="F131" s="231" t="s">
        <v>422</v>
      </c>
      <c r="G131" s="249"/>
      <c r="H131" s="240"/>
      <c r="I131" s="240"/>
      <c r="J131" s="260"/>
      <c r="K131" s="260"/>
      <c r="L131" s="1553"/>
      <c r="M131" s="260"/>
      <c r="N131" s="261"/>
      <c r="O131" s="261"/>
      <c r="P131" s="262">
        <f>SUM(P132:P132)</f>
        <v>828000</v>
      </c>
      <c r="Q131" s="263"/>
      <c r="R131" s="1004"/>
      <c r="S131" s="263"/>
      <c r="T131" s="246"/>
    </row>
    <row r="132" spans="1:23" ht="15" customHeight="1">
      <c r="A132" s="224"/>
      <c r="B132" s="225"/>
      <c r="C132" s="226"/>
      <c r="D132" s="225"/>
      <c r="E132" s="237"/>
      <c r="F132" s="238" t="s">
        <v>1459</v>
      </c>
      <c r="G132" s="252">
        <v>69000</v>
      </c>
      <c r="H132" s="240" t="s">
        <v>277</v>
      </c>
      <c r="I132" s="256">
        <v>12</v>
      </c>
      <c r="J132" s="283"/>
      <c r="K132" s="284"/>
      <c r="L132" s="1402"/>
      <c r="M132" s="284"/>
      <c r="N132" s="285"/>
      <c r="O132" s="285" t="s">
        <v>283</v>
      </c>
      <c r="P132" s="286">
        <f>ROUNDUP(G132*I132,-3)</f>
        <v>828000</v>
      </c>
      <c r="Q132" s="287"/>
      <c r="R132" s="1027"/>
      <c r="S132" s="287"/>
      <c r="T132" s="246"/>
    </row>
    <row r="133" spans="1:23" ht="15" customHeight="1">
      <c r="A133" s="224"/>
      <c r="B133" s="225"/>
      <c r="C133" s="226"/>
      <c r="D133" s="278"/>
      <c r="E133" s="66" t="s">
        <v>1458</v>
      </c>
      <c r="F133" s="227"/>
      <c r="G133" s="228"/>
      <c r="H133" s="66"/>
      <c r="I133" s="66"/>
      <c r="J133" s="363"/>
      <c r="K133" s="363"/>
      <c r="L133" s="366"/>
      <c r="M133" s="363"/>
      <c r="N133" s="367"/>
      <c r="O133" s="367"/>
      <c r="P133" s="363"/>
      <c r="Q133" s="188">
        <f>ROUNDUP(SUM(P134,),-3)</f>
        <v>0</v>
      </c>
      <c r="R133" s="188">
        <v>5000000</v>
      </c>
      <c r="S133" s="188">
        <f t="shared" ref="S133:S137" si="5">Q133-R133</f>
        <v>-5000000</v>
      </c>
      <c r="T133" s="172">
        <f t="shared" ref="T133:T137" si="6">S133/R133</f>
        <v>-1</v>
      </c>
    </row>
    <row r="134" spans="1:23" ht="15" customHeight="1">
      <c r="A134" s="224"/>
      <c r="B134" s="222"/>
      <c r="C134" s="214" t="s">
        <v>1457</v>
      </c>
      <c r="D134" s="266"/>
      <c r="E134" s="214"/>
      <c r="F134" s="215"/>
      <c r="G134" s="216"/>
      <c r="H134" s="217"/>
      <c r="I134" s="217"/>
      <c r="J134" s="217"/>
      <c r="K134" s="217"/>
      <c r="L134" s="218"/>
      <c r="M134" s="217"/>
      <c r="N134" s="219"/>
      <c r="O134" s="219"/>
      <c r="P134" s="217"/>
      <c r="Q134" s="220">
        <f>Q135+Q137</f>
        <v>49601000</v>
      </c>
      <c r="R134" s="220">
        <f>R135+R137</f>
        <v>9324000</v>
      </c>
      <c r="S134" s="220">
        <f t="shared" si="5"/>
        <v>40277000</v>
      </c>
      <c r="T134" s="221">
        <f t="shared" si="6"/>
        <v>4.3197125697125696</v>
      </c>
    </row>
    <row r="135" spans="1:23" s="826" customFormat="1" ht="15" customHeight="1">
      <c r="A135" s="857"/>
      <c r="B135" s="848"/>
      <c r="C135" s="856"/>
      <c r="D135" s="1296" t="s">
        <v>268</v>
      </c>
      <c r="E135" s="1297"/>
      <c r="F135" s="1297"/>
      <c r="G135" s="1298"/>
      <c r="H135" s="1297"/>
      <c r="I135" s="1297"/>
      <c r="J135" s="1297"/>
      <c r="K135" s="1297"/>
      <c r="L135" s="1299"/>
      <c r="M135" s="1297"/>
      <c r="N135" s="1300"/>
      <c r="O135" s="1300"/>
      <c r="P135" s="1297"/>
      <c r="Q135" s="1301">
        <f>Q136</f>
        <v>0</v>
      </c>
      <c r="R135" s="1301">
        <f>R136</f>
        <v>0</v>
      </c>
      <c r="S135" s="1301">
        <f t="shared" si="5"/>
        <v>0</v>
      </c>
      <c r="T135" s="1302">
        <v>0</v>
      </c>
    </row>
    <row r="136" spans="1:23" s="826" customFormat="1" ht="15" customHeight="1">
      <c r="A136" s="857"/>
      <c r="B136" s="858"/>
      <c r="C136" s="859"/>
      <c r="D136" s="860"/>
      <c r="E136" s="861" t="s">
        <v>269</v>
      </c>
      <c r="F136" s="1303"/>
      <c r="G136" s="1304"/>
      <c r="H136" s="1303"/>
      <c r="I136" s="1303"/>
      <c r="J136" s="1303"/>
      <c r="K136" s="1303"/>
      <c r="L136" s="1305"/>
      <c r="M136" s="1303"/>
      <c r="N136" s="1306"/>
      <c r="O136" s="1306"/>
      <c r="P136" s="1303"/>
      <c r="Q136" s="374">
        <v>0</v>
      </c>
      <c r="R136" s="374">
        <v>0</v>
      </c>
      <c r="S136" s="374">
        <f t="shared" si="5"/>
        <v>0</v>
      </c>
      <c r="T136" s="864">
        <v>0</v>
      </c>
    </row>
    <row r="137" spans="1:23" ht="15" customHeight="1">
      <c r="A137" s="224"/>
      <c r="B137" s="222"/>
      <c r="C137" s="223"/>
      <c r="D137" s="394" t="s">
        <v>527</v>
      </c>
      <c r="E137" s="84"/>
      <c r="F137" s="85"/>
      <c r="G137" s="86"/>
      <c r="H137" s="84"/>
      <c r="I137" s="84"/>
      <c r="J137" s="84"/>
      <c r="K137" s="84"/>
      <c r="L137" s="83"/>
      <c r="M137" s="84"/>
      <c r="N137" s="87"/>
      <c r="O137" s="87"/>
      <c r="P137" s="84"/>
      <c r="Q137" s="76">
        <f>ROUNDUP(Q138+Q164+Q190,-3)</f>
        <v>49601000</v>
      </c>
      <c r="R137" s="76">
        <v>9324000</v>
      </c>
      <c r="S137" s="76">
        <f t="shared" si="5"/>
        <v>40277000</v>
      </c>
      <c r="T137" s="77">
        <f t="shared" si="6"/>
        <v>4.3197125697125696</v>
      </c>
    </row>
    <row r="138" spans="1:23" ht="15" customHeight="1">
      <c r="A138" s="224"/>
      <c r="B138" s="225"/>
      <c r="C138" s="226"/>
      <c r="D138" s="267"/>
      <c r="E138" s="66" t="s">
        <v>2344</v>
      </c>
      <c r="F138" s="269"/>
      <c r="G138" s="270"/>
      <c r="H138" s="268"/>
      <c r="I138" s="268"/>
      <c r="J138" s="268"/>
      <c r="K138" s="268"/>
      <c r="L138" s="1556"/>
      <c r="M138" s="268"/>
      <c r="N138" s="271"/>
      <c r="O138" s="271"/>
      <c r="P138" s="268"/>
      <c r="Q138" s="171">
        <f>ROUNDUP(SUM(P139+P144+P148+P152+P156+P160+P209),-3)</f>
        <v>8324000</v>
      </c>
      <c r="R138" s="171"/>
      <c r="S138" s="171"/>
      <c r="T138" s="172"/>
    </row>
    <row r="139" spans="1:23" ht="15" customHeight="1">
      <c r="A139" s="224"/>
      <c r="B139" s="225"/>
      <c r="C139" s="226"/>
      <c r="D139" s="225"/>
      <c r="E139" s="226"/>
      <c r="F139" s="1391" t="s">
        <v>1456</v>
      </c>
      <c r="G139" s="249"/>
      <c r="H139" s="240"/>
      <c r="I139" s="240"/>
      <c r="J139" s="240"/>
      <c r="K139" s="240"/>
      <c r="L139" s="250"/>
      <c r="M139" s="244"/>
      <c r="N139" s="240"/>
      <c r="O139" s="244"/>
      <c r="P139" s="1390">
        <f>SUM(P140:P143)</f>
        <v>1330000</v>
      </c>
      <c r="Q139" s="235"/>
      <c r="R139" s="997"/>
      <c r="S139" s="235"/>
      <c r="T139" s="246"/>
    </row>
    <row r="140" spans="1:23" ht="15" customHeight="1">
      <c r="A140" s="224"/>
      <c r="B140" s="225"/>
      <c r="C140" s="226"/>
      <c r="D140" s="225"/>
      <c r="E140" s="226"/>
      <c r="F140" s="998" t="s">
        <v>1445</v>
      </c>
      <c r="G140" s="252">
        <v>35000</v>
      </c>
      <c r="H140" s="240" t="s">
        <v>277</v>
      </c>
      <c r="I140" s="242">
        <v>12</v>
      </c>
      <c r="J140" s="240"/>
      <c r="K140" s="242"/>
      <c r="L140" s="243"/>
      <c r="M140" s="244"/>
      <c r="N140" s="240"/>
      <c r="O140" s="244" t="s">
        <v>283</v>
      </c>
      <c r="P140" s="1172">
        <f>G140*I140</f>
        <v>420000</v>
      </c>
      <c r="Q140" s="235"/>
      <c r="R140" s="997"/>
      <c r="S140" s="235"/>
      <c r="T140" s="246"/>
    </row>
    <row r="141" spans="1:23" ht="15" customHeight="1">
      <c r="A141" s="224"/>
      <c r="B141" s="225"/>
      <c r="C141" s="226"/>
      <c r="D141" s="225"/>
      <c r="E141" s="226"/>
      <c r="F141" s="1653" t="s">
        <v>1452</v>
      </c>
      <c r="G141" s="249">
        <v>5000</v>
      </c>
      <c r="H141" s="240" t="s">
        <v>277</v>
      </c>
      <c r="I141" s="242">
        <v>12</v>
      </c>
      <c r="J141" s="240"/>
      <c r="K141" s="242"/>
      <c r="L141" s="243"/>
      <c r="M141" s="244"/>
      <c r="N141" s="240"/>
      <c r="O141" s="244" t="s">
        <v>925</v>
      </c>
      <c r="P141" s="1172">
        <f>G141*I141</f>
        <v>60000</v>
      </c>
      <c r="Q141" s="235"/>
      <c r="R141" s="997"/>
      <c r="S141" s="235"/>
      <c r="T141" s="246"/>
    </row>
    <row r="142" spans="1:23" ht="15" customHeight="1">
      <c r="A142" s="224"/>
      <c r="B142" s="225"/>
      <c r="C142" s="226"/>
      <c r="D142" s="225"/>
      <c r="E142" s="226"/>
      <c r="F142" s="1653" t="s">
        <v>1455</v>
      </c>
      <c r="G142" s="249">
        <v>10000</v>
      </c>
      <c r="H142" s="240" t="s">
        <v>277</v>
      </c>
      <c r="I142" s="241">
        <v>5</v>
      </c>
      <c r="J142" s="240"/>
      <c r="K142" s="242"/>
      <c r="L142" s="243"/>
      <c r="M142" s="244"/>
      <c r="N142" s="240"/>
      <c r="O142" s="244" t="s">
        <v>283</v>
      </c>
      <c r="P142" s="1172">
        <f>G142*I142</f>
        <v>50000</v>
      </c>
      <c r="Q142" s="235"/>
      <c r="R142" s="997"/>
      <c r="S142" s="235"/>
      <c r="T142" s="246"/>
    </row>
    <row r="143" spans="1:23" ht="15" customHeight="1">
      <c r="A143" s="576"/>
      <c r="B143" s="278"/>
      <c r="C143" s="279"/>
      <c r="D143" s="278"/>
      <c r="E143" s="279"/>
      <c r="F143" s="1658" t="s">
        <v>1454</v>
      </c>
      <c r="G143" s="282">
        <v>800000</v>
      </c>
      <c r="H143" s="283" t="s">
        <v>924</v>
      </c>
      <c r="I143" s="592">
        <v>1</v>
      </c>
      <c r="J143" s="283"/>
      <c r="K143" s="284"/>
      <c r="L143" s="1402"/>
      <c r="M143" s="285"/>
      <c r="N143" s="283"/>
      <c r="O143" s="285" t="s">
        <v>925</v>
      </c>
      <c r="P143" s="1706">
        <f>G143*I143</f>
        <v>800000</v>
      </c>
      <c r="Q143" s="287"/>
      <c r="R143" s="1027"/>
      <c r="S143" s="287"/>
      <c r="T143" s="288"/>
      <c r="W143" s="275"/>
    </row>
    <row r="144" spans="1:23" ht="15" customHeight="1">
      <c r="A144" s="224"/>
      <c r="B144" s="225"/>
      <c r="C144" s="226"/>
      <c r="D144" s="225"/>
      <c r="E144" s="226"/>
      <c r="F144" s="240" t="s">
        <v>1453</v>
      </c>
      <c r="G144" s="249"/>
      <c r="H144" s="240"/>
      <c r="I144" s="240"/>
      <c r="J144" s="240"/>
      <c r="K144" s="240"/>
      <c r="L144" s="250"/>
      <c r="M144" s="244"/>
      <c r="N144" s="240"/>
      <c r="O144" s="244"/>
      <c r="P144" s="1390">
        <f>SUM(P145:P147)</f>
        <v>410000</v>
      </c>
      <c r="Q144" s="235"/>
      <c r="R144" s="997"/>
      <c r="S144" s="235"/>
      <c r="T144" s="246"/>
    </row>
    <row r="145" spans="1:20" ht="15" customHeight="1">
      <c r="A145" s="224"/>
      <c r="B145" s="225"/>
      <c r="C145" s="226"/>
      <c r="D145" s="225"/>
      <c r="E145" s="226"/>
      <c r="F145" s="998" t="s">
        <v>1445</v>
      </c>
      <c r="G145" s="252">
        <v>35000</v>
      </c>
      <c r="H145" s="240" t="s">
        <v>277</v>
      </c>
      <c r="I145" s="242">
        <v>8</v>
      </c>
      <c r="J145" s="240"/>
      <c r="K145" s="242"/>
      <c r="L145" s="243"/>
      <c r="M145" s="244"/>
      <c r="N145" s="240"/>
      <c r="O145" s="244" t="s">
        <v>283</v>
      </c>
      <c r="P145" s="1172">
        <f>G145*I145</f>
        <v>280000</v>
      </c>
      <c r="Q145" s="235"/>
      <c r="R145" s="997"/>
      <c r="S145" s="235"/>
      <c r="T145" s="246"/>
    </row>
    <row r="146" spans="1:20" ht="15" customHeight="1">
      <c r="A146" s="224"/>
      <c r="B146" s="225"/>
      <c r="C146" s="226"/>
      <c r="D146" s="225"/>
      <c r="E146" s="226"/>
      <c r="F146" s="1653" t="s">
        <v>1452</v>
      </c>
      <c r="G146" s="249">
        <v>5000</v>
      </c>
      <c r="H146" s="240" t="s">
        <v>277</v>
      </c>
      <c r="I146" s="242">
        <v>8</v>
      </c>
      <c r="J146" s="240"/>
      <c r="K146" s="242"/>
      <c r="L146" s="243"/>
      <c r="M146" s="244"/>
      <c r="N146" s="240"/>
      <c r="O146" s="244" t="s">
        <v>283</v>
      </c>
      <c r="P146" s="1172">
        <f>G146*I146</f>
        <v>40000</v>
      </c>
      <c r="Q146" s="235"/>
      <c r="R146" s="997"/>
      <c r="S146" s="235"/>
      <c r="T146" s="246"/>
    </row>
    <row r="147" spans="1:20" ht="15" customHeight="1">
      <c r="A147" s="224"/>
      <c r="B147" s="225"/>
      <c r="C147" s="226"/>
      <c r="D147" s="225"/>
      <c r="E147" s="226"/>
      <c r="F147" s="1653" t="s">
        <v>1440</v>
      </c>
      <c r="G147" s="249">
        <v>3000</v>
      </c>
      <c r="H147" s="240" t="s">
        <v>277</v>
      </c>
      <c r="I147" s="241">
        <v>30</v>
      </c>
      <c r="J147" s="240"/>
      <c r="K147" s="242"/>
      <c r="L147" s="243"/>
      <c r="M147" s="244"/>
      <c r="N147" s="240"/>
      <c r="O147" s="244" t="s">
        <v>283</v>
      </c>
      <c r="P147" s="1172">
        <f>G147*I147</f>
        <v>90000</v>
      </c>
      <c r="Q147" s="235"/>
      <c r="R147" s="997"/>
      <c r="S147" s="235"/>
      <c r="T147" s="246"/>
    </row>
    <row r="148" spans="1:20" ht="15" customHeight="1">
      <c r="A148" s="224"/>
      <c r="B148" s="225"/>
      <c r="C148" s="226"/>
      <c r="D148" s="225"/>
      <c r="E148" s="226"/>
      <c r="F148" s="240" t="s">
        <v>1451</v>
      </c>
      <c r="G148" s="249"/>
      <c r="H148" s="240"/>
      <c r="I148" s="240"/>
      <c r="J148" s="240"/>
      <c r="K148" s="240"/>
      <c r="L148" s="250"/>
      <c r="M148" s="244"/>
      <c r="N148" s="240"/>
      <c r="O148" s="244"/>
      <c r="P148" s="1390">
        <f>SUM(P149:P151)</f>
        <v>2420000</v>
      </c>
      <c r="Q148" s="235"/>
      <c r="R148" s="997"/>
      <c r="S148" s="235"/>
      <c r="T148" s="246"/>
    </row>
    <row r="149" spans="1:20" ht="15" customHeight="1">
      <c r="A149" s="224"/>
      <c r="B149" s="225"/>
      <c r="C149" s="226"/>
      <c r="D149" s="225"/>
      <c r="E149" s="226"/>
      <c r="F149" s="998" t="s">
        <v>1445</v>
      </c>
      <c r="G149" s="252">
        <v>250000</v>
      </c>
      <c r="H149" s="240" t="s">
        <v>277</v>
      </c>
      <c r="I149" s="256">
        <v>8</v>
      </c>
      <c r="J149" s="240"/>
      <c r="K149" s="242"/>
      <c r="L149" s="243"/>
      <c r="M149" s="244"/>
      <c r="N149" s="240"/>
      <c r="O149" s="244" t="s">
        <v>283</v>
      </c>
      <c r="P149" s="1172">
        <f>G149*I149</f>
        <v>2000000</v>
      </c>
      <c r="Q149" s="235"/>
      <c r="R149" s="997"/>
      <c r="S149" s="235"/>
      <c r="T149" s="246"/>
    </row>
    <row r="150" spans="1:20" ht="15" customHeight="1">
      <c r="A150" s="224"/>
      <c r="B150" s="225"/>
      <c r="C150" s="226"/>
      <c r="D150" s="225"/>
      <c r="E150" s="226"/>
      <c r="F150" s="1653" t="s">
        <v>1450</v>
      </c>
      <c r="G150" s="249">
        <v>40000</v>
      </c>
      <c r="H150" s="240" t="s">
        <v>277</v>
      </c>
      <c r="I150" s="256">
        <v>8</v>
      </c>
      <c r="J150" s="240"/>
      <c r="K150" s="242"/>
      <c r="L150" s="243"/>
      <c r="M150" s="244"/>
      <c r="N150" s="240"/>
      <c r="O150" s="244" t="s">
        <v>283</v>
      </c>
      <c r="P150" s="1172">
        <f>G150*I150</f>
        <v>320000</v>
      </c>
      <c r="Q150" s="235"/>
      <c r="R150" s="997"/>
      <c r="S150" s="235"/>
      <c r="T150" s="246"/>
    </row>
    <row r="151" spans="1:20" ht="15" customHeight="1">
      <c r="A151" s="224"/>
      <c r="B151" s="225"/>
      <c r="C151" s="226"/>
      <c r="D151" s="225"/>
      <c r="E151" s="226"/>
      <c r="F151" s="1653" t="s">
        <v>284</v>
      </c>
      <c r="G151" s="249">
        <v>50000</v>
      </c>
      <c r="H151" s="240" t="s">
        <v>277</v>
      </c>
      <c r="I151" s="256">
        <v>2</v>
      </c>
      <c r="J151" s="240"/>
      <c r="K151" s="242"/>
      <c r="L151" s="243"/>
      <c r="M151" s="244"/>
      <c r="N151" s="240"/>
      <c r="O151" s="244" t="s">
        <v>925</v>
      </c>
      <c r="P151" s="1172">
        <f>G151*I151</f>
        <v>100000</v>
      </c>
      <c r="Q151" s="235"/>
      <c r="R151" s="997"/>
      <c r="S151" s="235"/>
      <c r="T151" s="246"/>
    </row>
    <row r="152" spans="1:20" ht="15" customHeight="1">
      <c r="A152" s="224"/>
      <c r="B152" s="225"/>
      <c r="C152" s="226"/>
      <c r="D152" s="225"/>
      <c r="E152" s="226"/>
      <c r="F152" s="240" t="s">
        <v>1449</v>
      </c>
      <c r="G152" s="249"/>
      <c r="H152" s="240"/>
      <c r="I152" s="240"/>
      <c r="J152" s="240"/>
      <c r="K152" s="240"/>
      <c r="L152" s="250"/>
      <c r="M152" s="244"/>
      <c r="N152" s="240"/>
      <c r="O152" s="244"/>
      <c r="P152" s="1390">
        <f>SUM(P153:P155)</f>
        <v>1320000</v>
      </c>
      <c r="Q152" s="235"/>
      <c r="R152" s="997"/>
      <c r="S152" s="235"/>
      <c r="T152" s="246"/>
    </row>
    <row r="153" spans="1:20" ht="15" customHeight="1">
      <c r="A153" s="224"/>
      <c r="B153" s="225"/>
      <c r="C153" s="226"/>
      <c r="D153" s="225"/>
      <c r="E153" s="226"/>
      <c r="F153" s="998" t="s">
        <v>1448</v>
      </c>
      <c r="G153" s="252">
        <v>250000</v>
      </c>
      <c r="H153" s="240" t="s">
        <v>277</v>
      </c>
      <c r="I153" s="256">
        <v>4</v>
      </c>
      <c r="J153" s="240"/>
      <c r="K153" s="242"/>
      <c r="L153" s="243"/>
      <c r="M153" s="244"/>
      <c r="N153" s="240"/>
      <c r="O153" s="244" t="s">
        <v>925</v>
      </c>
      <c r="P153" s="1172">
        <f>G153*I153</f>
        <v>1000000</v>
      </c>
      <c r="Q153" s="235"/>
      <c r="R153" s="997"/>
      <c r="S153" s="235"/>
      <c r="T153" s="246"/>
    </row>
    <row r="154" spans="1:20" ht="15" customHeight="1">
      <c r="A154" s="224"/>
      <c r="B154" s="225"/>
      <c r="C154" s="226"/>
      <c r="D154" s="225"/>
      <c r="E154" s="226"/>
      <c r="F154" s="1653" t="s">
        <v>1447</v>
      </c>
      <c r="G154" s="249">
        <v>30000</v>
      </c>
      <c r="H154" s="240" t="s">
        <v>277</v>
      </c>
      <c r="I154" s="256">
        <v>4</v>
      </c>
      <c r="J154" s="240"/>
      <c r="K154" s="242"/>
      <c r="L154" s="243"/>
      <c r="M154" s="244"/>
      <c r="N154" s="240"/>
      <c r="O154" s="244" t="s">
        <v>283</v>
      </c>
      <c r="P154" s="1387">
        <f>G154*I154</f>
        <v>120000</v>
      </c>
      <c r="Q154" s="235"/>
      <c r="R154" s="997"/>
      <c r="S154" s="235"/>
      <c r="T154" s="246"/>
    </row>
    <row r="155" spans="1:20" ht="15" customHeight="1">
      <c r="A155" s="224"/>
      <c r="B155" s="225"/>
      <c r="C155" s="226"/>
      <c r="D155" s="225"/>
      <c r="E155" s="226"/>
      <c r="F155" s="1653" t="s">
        <v>284</v>
      </c>
      <c r="G155" s="249">
        <v>50000</v>
      </c>
      <c r="H155" s="240" t="s">
        <v>277</v>
      </c>
      <c r="I155" s="256">
        <v>4</v>
      </c>
      <c r="J155" s="240"/>
      <c r="K155" s="242"/>
      <c r="L155" s="243"/>
      <c r="M155" s="244"/>
      <c r="N155" s="240"/>
      <c r="O155" s="244" t="s">
        <v>283</v>
      </c>
      <c r="P155" s="1172">
        <f>G155*I155</f>
        <v>200000</v>
      </c>
      <c r="Q155" s="235"/>
      <c r="R155" s="997"/>
      <c r="S155" s="235"/>
      <c r="T155" s="246"/>
    </row>
    <row r="156" spans="1:20" ht="15" customHeight="1">
      <c r="A156" s="224"/>
      <c r="B156" s="225"/>
      <c r="C156" s="226"/>
      <c r="D156" s="225"/>
      <c r="E156" s="226"/>
      <c r="F156" s="240" t="s">
        <v>1446</v>
      </c>
      <c r="G156" s="249"/>
      <c r="H156" s="240"/>
      <c r="I156" s="240"/>
      <c r="J156" s="240"/>
      <c r="K156" s="240"/>
      <c r="L156" s="250"/>
      <c r="M156" s="244"/>
      <c r="N156" s="240"/>
      <c r="O156" s="244"/>
      <c r="P156" s="1390">
        <f>SUM(P157:P159)</f>
        <v>2189000</v>
      </c>
      <c r="Q156" s="235"/>
      <c r="R156" s="997"/>
      <c r="S156" s="235"/>
      <c r="T156" s="246"/>
    </row>
    <row r="157" spans="1:20" ht="15" customHeight="1">
      <c r="A157" s="224"/>
      <c r="B157" s="225"/>
      <c r="C157" s="226"/>
      <c r="D157" s="225"/>
      <c r="E157" s="226"/>
      <c r="F157" s="998" t="s">
        <v>1445</v>
      </c>
      <c r="G157" s="252">
        <v>250000</v>
      </c>
      <c r="H157" s="240" t="s">
        <v>277</v>
      </c>
      <c r="I157" s="256">
        <v>6</v>
      </c>
      <c r="J157" s="240"/>
      <c r="K157" s="242"/>
      <c r="L157" s="243"/>
      <c r="M157" s="244"/>
      <c r="N157" s="240"/>
      <c r="O157" s="244" t="s">
        <v>283</v>
      </c>
      <c r="P157" s="1707">
        <f>G157*I157</f>
        <v>1500000</v>
      </c>
      <c r="Q157" s="235"/>
      <c r="R157" s="997"/>
      <c r="S157" s="235"/>
      <c r="T157" s="246"/>
    </row>
    <row r="158" spans="1:20" ht="15" customHeight="1">
      <c r="A158" s="224"/>
      <c r="B158" s="225"/>
      <c r="C158" s="226"/>
      <c r="D158" s="225"/>
      <c r="E158" s="226"/>
      <c r="F158" s="1653" t="s">
        <v>1444</v>
      </c>
      <c r="G158" s="249">
        <v>31500</v>
      </c>
      <c r="H158" s="240" t="s">
        <v>277</v>
      </c>
      <c r="I158" s="256">
        <v>6</v>
      </c>
      <c r="J158" s="240"/>
      <c r="K158" s="242"/>
      <c r="L158" s="243"/>
      <c r="M158" s="244"/>
      <c r="N158" s="240"/>
      <c r="O158" s="244" t="s">
        <v>283</v>
      </c>
      <c r="P158" s="1172">
        <f>G158*I158</f>
        <v>189000</v>
      </c>
      <c r="Q158" s="235"/>
      <c r="R158" s="997"/>
      <c r="S158" s="235"/>
      <c r="T158" s="246"/>
    </row>
    <row r="159" spans="1:20" ht="15" customHeight="1">
      <c r="A159" s="224"/>
      <c r="B159" s="225"/>
      <c r="C159" s="226"/>
      <c r="D159" s="225"/>
      <c r="E159" s="226"/>
      <c r="F159" s="1653" t="s">
        <v>1443</v>
      </c>
      <c r="G159" s="249">
        <v>50</v>
      </c>
      <c r="H159" s="240" t="s">
        <v>277</v>
      </c>
      <c r="I159" s="1785">
        <v>10000</v>
      </c>
      <c r="J159" s="240"/>
      <c r="K159" s="242"/>
      <c r="L159" s="243"/>
      <c r="M159" s="244"/>
      <c r="N159" s="240"/>
      <c r="O159" s="244" t="s">
        <v>283</v>
      </c>
      <c r="P159" s="1172">
        <f>G159*I159</f>
        <v>500000</v>
      </c>
      <c r="Q159" s="235"/>
      <c r="R159" s="997"/>
      <c r="S159" s="235"/>
      <c r="T159" s="246"/>
    </row>
    <row r="160" spans="1:20" ht="15" customHeight="1">
      <c r="A160" s="224"/>
      <c r="B160" s="225"/>
      <c r="C160" s="226"/>
      <c r="D160" s="225"/>
      <c r="E160" s="226"/>
      <c r="F160" s="240" t="s">
        <v>1442</v>
      </c>
      <c r="G160" s="249"/>
      <c r="H160" s="240"/>
      <c r="I160" s="240"/>
      <c r="J160" s="240"/>
      <c r="K160" s="240"/>
      <c r="L160" s="250"/>
      <c r="M160" s="244"/>
      <c r="N160" s="240"/>
      <c r="O160" s="244"/>
      <c r="P160" s="1390">
        <f>SUM(P161:P163)</f>
        <v>655000</v>
      </c>
      <c r="Q160" s="235"/>
      <c r="R160" s="997"/>
      <c r="S160" s="235"/>
      <c r="T160" s="246"/>
    </row>
    <row r="161" spans="1:23" ht="15" customHeight="1">
      <c r="A161" s="224"/>
      <c r="B161" s="225"/>
      <c r="C161" s="226"/>
      <c r="D161" s="225"/>
      <c r="E161" s="226"/>
      <c r="F161" s="998" t="s">
        <v>1393</v>
      </c>
      <c r="G161" s="252">
        <v>250000</v>
      </c>
      <c r="H161" s="240" t="s">
        <v>277</v>
      </c>
      <c r="I161" s="256">
        <v>2</v>
      </c>
      <c r="J161" s="240"/>
      <c r="K161" s="242"/>
      <c r="L161" s="243"/>
      <c r="M161" s="244"/>
      <c r="N161" s="240"/>
      <c r="O161" s="244" t="s">
        <v>283</v>
      </c>
      <c r="P161" s="1172">
        <f>G161*I161</f>
        <v>500000</v>
      </c>
      <c r="Q161" s="235"/>
      <c r="R161" s="997"/>
      <c r="S161" s="235"/>
      <c r="T161" s="246"/>
    </row>
    <row r="162" spans="1:23" ht="15" customHeight="1">
      <c r="A162" s="224"/>
      <c r="B162" s="225"/>
      <c r="C162" s="226"/>
      <c r="D162" s="225"/>
      <c r="E162" s="226"/>
      <c r="F162" s="1653" t="s">
        <v>1441</v>
      </c>
      <c r="G162" s="249">
        <v>25000</v>
      </c>
      <c r="H162" s="240" t="s">
        <v>277</v>
      </c>
      <c r="I162" s="256">
        <v>2</v>
      </c>
      <c r="J162" s="240"/>
      <c r="K162" s="242"/>
      <c r="L162" s="243"/>
      <c r="M162" s="244"/>
      <c r="N162" s="240"/>
      <c r="O162" s="244" t="s">
        <v>925</v>
      </c>
      <c r="P162" s="1707">
        <f>G162*I162</f>
        <v>50000</v>
      </c>
      <c r="Q162" s="235"/>
      <c r="R162" s="997"/>
      <c r="S162" s="235"/>
      <c r="T162" s="246"/>
    </row>
    <row r="163" spans="1:23" ht="15" customHeight="1">
      <c r="A163" s="224"/>
      <c r="B163" s="225"/>
      <c r="C163" s="226"/>
      <c r="D163" s="225"/>
      <c r="E163" s="226"/>
      <c r="F163" s="1653" t="s">
        <v>1440</v>
      </c>
      <c r="G163" s="249">
        <v>7000</v>
      </c>
      <c r="H163" s="240" t="s">
        <v>277</v>
      </c>
      <c r="I163" s="256">
        <v>1</v>
      </c>
      <c r="J163" s="240" t="s">
        <v>109</v>
      </c>
      <c r="K163" s="241">
        <v>15</v>
      </c>
      <c r="L163" s="243"/>
      <c r="M163" s="244"/>
      <c r="N163" s="240"/>
      <c r="O163" s="244" t="s">
        <v>925</v>
      </c>
      <c r="P163" s="1707">
        <f>G163*I163*K163</f>
        <v>105000</v>
      </c>
      <c r="Q163" s="235"/>
      <c r="R163" s="997"/>
      <c r="S163" s="235"/>
      <c r="T163" s="246"/>
    </row>
    <row r="164" spans="1:23" ht="15" customHeight="1">
      <c r="A164" s="224"/>
      <c r="B164" s="225"/>
      <c r="C164" s="226"/>
      <c r="D164" s="225"/>
      <c r="E164" s="66" t="s">
        <v>2345</v>
      </c>
      <c r="F164" s="269"/>
      <c r="G164" s="270"/>
      <c r="H164" s="268"/>
      <c r="I164" s="268"/>
      <c r="J164" s="268"/>
      <c r="K164" s="268"/>
      <c r="L164" s="1556"/>
      <c r="M164" s="268"/>
      <c r="N164" s="271"/>
      <c r="O164" s="271"/>
      <c r="P164" s="268"/>
      <c r="Q164" s="171">
        <f>ROUNDUP(SUM(P167+P169+P171+P173+P175+P177+P182+P184),-3)</f>
        <v>23682000</v>
      </c>
      <c r="R164" s="171"/>
      <c r="S164" s="171"/>
      <c r="T164" s="172"/>
    </row>
    <row r="165" spans="1:23" s="826" customFormat="1" ht="15" customHeight="1">
      <c r="A165" s="857"/>
      <c r="B165" s="858"/>
      <c r="C165" s="859"/>
      <c r="D165" s="858"/>
      <c r="E165" s="339"/>
      <c r="F165" s="1293" t="s">
        <v>2333</v>
      </c>
      <c r="G165" s="865"/>
      <c r="H165" s="339"/>
      <c r="I165" s="339"/>
      <c r="J165" s="339"/>
      <c r="K165" s="339"/>
      <c r="L165" s="1216"/>
      <c r="M165" s="339"/>
      <c r="N165" s="866"/>
      <c r="O165" s="866"/>
      <c r="P165" s="867">
        <f>SUM(P167+P169+P171+P173+P175+P177+P184+P182)</f>
        <v>23682000</v>
      </c>
      <c r="Q165" s="1198"/>
      <c r="R165" s="1198"/>
      <c r="S165" s="1198"/>
      <c r="T165" s="1199"/>
    </row>
    <row r="166" spans="1:23" s="826" customFormat="1" ht="15" customHeight="1">
      <c r="A166" s="857"/>
      <c r="B166" s="858"/>
      <c r="C166" s="859"/>
      <c r="D166" s="858"/>
      <c r="E166" s="339"/>
      <c r="F166" s="1293" t="s">
        <v>1439</v>
      </c>
      <c r="G166" s="865"/>
      <c r="H166" s="339"/>
      <c r="I166" s="339"/>
      <c r="J166" s="339"/>
      <c r="K166" s="339"/>
      <c r="L166" s="1216"/>
      <c r="M166" s="339"/>
      <c r="N166" s="866"/>
      <c r="O166" s="866"/>
      <c r="P166" s="867"/>
      <c r="Q166" s="1198"/>
      <c r="R166" s="1198"/>
      <c r="S166" s="1198"/>
      <c r="T166" s="1199"/>
      <c r="W166" s="891"/>
    </row>
    <row r="167" spans="1:23" s="826" customFormat="1" ht="15" customHeight="1">
      <c r="A167" s="857"/>
      <c r="B167" s="858"/>
      <c r="C167" s="859"/>
      <c r="D167" s="858"/>
      <c r="E167" s="339"/>
      <c r="F167" s="231" t="s">
        <v>1438</v>
      </c>
      <c r="G167" s="249"/>
      <c r="H167" s="240"/>
      <c r="I167" s="240"/>
      <c r="J167" s="240"/>
      <c r="K167" s="240"/>
      <c r="L167" s="250"/>
      <c r="M167" s="240"/>
      <c r="N167" s="244"/>
      <c r="O167" s="244"/>
      <c r="P167" s="251">
        <f>P168</f>
        <v>860000</v>
      </c>
      <c r="Q167" s="1198"/>
      <c r="R167" s="1198"/>
      <c r="S167" s="1198"/>
      <c r="T167" s="1199"/>
    </row>
    <row r="168" spans="1:23" s="826" customFormat="1" ht="15" customHeight="1">
      <c r="A168" s="857"/>
      <c r="B168" s="858"/>
      <c r="C168" s="859"/>
      <c r="D168" s="858"/>
      <c r="E168" s="339"/>
      <c r="F168" s="248" t="s">
        <v>1417</v>
      </c>
      <c r="G168" s="252">
        <v>1718470</v>
      </c>
      <c r="H168" s="240" t="s">
        <v>277</v>
      </c>
      <c r="I168" s="241">
        <v>1</v>
      </c>
      <c r="J168" s="240" t="s">
        <v>109</v>
      </c>
      <c r="K168" s="1033">
        <v>0.5</v>
      </c>
      <c r="L168" s="243"/>
      <c r="M168" s="242"/>
      <c r="N168" s="244"/>
      <c r="O168" s="244" t="s">
        <v>283</v>
      </c>
      <c r="P168" s="245">
        <f>ROUNDUP(G168*I168*K168,-3)</f>
        <v>860000</v>
      </c>
      <c r="Q168" s="1198"/>
      <c r="R168" s="1198"/>
      <c r="S168" s="1198"/>
      <c r="T168" s="1199"/>
    </row>
    <row r="169" spans="1:23" ht="15" customHeight="1">
      <c r="A169" s="224"/>
      <c r="B169" s="225"/>
      <c r="C169" s="226"/>
      <c r="D169" s="225"/>
      <c r="E169" s="247"/>
      <c r="F169" s="231" t="s">
        <v>1437</v>
      </c>
      <c r="G169" s="249"/>
      <c r="H169" s="240"/>
      <c r="I169" s="240"/>
      <c r="J169" s="240"/>
      <c r="K169" s="240"/>
      <c r="L169" s="250"/>
      <c r="M169" s="240"/>
      <c r="N169" s="244"/>
      <c r="O169" s="244"/>
      <c r="P169" s="251">
        <f>P170</f>
        <v>720000</v>
      </c>
      <c r="Q169" s="235"/>
      <c r="R169" s="997"/>
      <c r="S169" s="235"/>
      <c r="T169" s="246"/>
      <c r="U169" s="1031"/>
    </row>
    <row r="170" spans="1:23" ht="15" customHeight="1">
      <c r="A170" s="224"/>
      <c r="B170" s="225"/>
      <c r="C170" s="226"/>
      <c r="D170" s="225"/>
      <c r="E170" s="226"/>
      <c r="F170" s="248" t="s">
        <v>1417</v>
      </c>
      <c r="G170" s="252">
        <v>60000</v>
      </c>
      <c r="H170" s="240" t="s">
        <v>277</v>
      </c>
      <c r="I170" s="241">
        <v>1</v>
      </c>
      <c r="J170" s="240" t="s">
        <v>109</v>
      </c>
      <c r="K170" s="242">
        <v>12</v>
      </c>
      <c r="L170" s="243"/>
      <c r="M170" s="242"/>
      <c r="N170" s="244"/>
      <c r="O170" s="244" t="s">
        <v>925</v>
      </c>
      <c r="P170" s="245">
        <f>ROUNDUP(G170*I170*K170,-3)</f>
        <v>720000</v>
      </c>
      <c r="Q170" s="1708"/>
      <c r="R170" s="101"/>
      <c r="S170" s="101"/>
      <c r="T170" s="102"/>
    </row>
    <row r="171" spans="1:23" ht="15" customHeight="1">
      <c r="A171" s="224"/>
      <c r="B171" s="225"/>
      <c r="C171" s="226"/>
      <c r="D171" s="225"/>
      <c r="E171" s="237"/>
      <c r="F171" s="231" t="s">
        <v>1436</v>
      </c>
      <c r="G171" s="249"/>
      <c r="H171" s="240"/>
      <c r="I171" s="240"/>
      <c r="J171" s="240"/>
      <c r="K171" s="240"/>
      <c r="L171" s="250"/>
      <c r="M171" s="240"/>
      <c r="N171" s="244"/>
      <c r="O171" s="244"/>
      <c r="P171" s="251">
        <f>SUM(P172:P172)</f>
        <v>3120000</v>
      </c>
      <c r="Q171" s="235"/>
      <c r="R171" s="997"/>
      <c r="S171" s="235"/>
      <c r="T171" s="246"/>
    </row>
    <row r="172" spans="1:23" ht="15" customHeight="1">
      <c r="A172" s="224"/>
      <c r="B172" s="225"/>
      <c r="C172" s="226"/>
      <c r="D172" s="225"/>
      <c r="E172" s="247"/>
      <c r="F172" s="238" t="s">
        <v>1432</v>
      </c>
      <c r="G172" s="252">
        <v>130000</v>
      </c>
      <c r="H172" s="240" t="s">
        <v>277</v>
      </c>
      <c r="I172" s="241">
        <v>2</v>
      </c>
      <c r="J172" s="240" t="s">
        <v>109</v>
      </c>
      <c r="K172" s="242">
        <v>12</v>
      </c>
      <c r="L172" s="243"/>
      <c r="M172" s="242"/>
      <c r="N172" s="244"/>
      <c r="O172" s="244" t="s">
        <v>925</v>
      </c>
      <c r="P172" s="245">
        <f>ROUNDUP(G172*I172*K172,-3)</f>
        <v>3120000</v>
      </c>
      <c r="Q172" s="235"/>
      <c r="R172" s="997"/>
      <c r="S172" s="235"/>
      <c r="T172" s="246"/>
    </row>
    <row r="173" spans="1:23" ht="15" customHeight="1">
      <c r="A173" s="224"/>
      <c r="B173" s="225"/>
      <c r="C173" s="226"/>
      <c r="D173" s="225"/>
      <c r="E173" s="237"/>
      <c r="F173" s="231" t="s">
        <v>1435</v>
      </c>
      <c r="G173" s="249"/>
      <c r="H173" s="240"/>
      <c r="I173" s="240"/>
      <c r="J173" s="240"/>
      <c r="K173" s="240"/>
      <c r="L173" s="250"/>
      <c r="M173" s="240"/>
      <c r="N173" s="244"/>
      <c r="O173" s="244"/>
      <c r="P173" s="251">
        <f>SUM(P174:P174)</f>
        <v>2400000</v>
      </c>
      <c r="Q173" s="235"/>
      <c r="R173" s="997"/>
      <c r="S173" s="235"/>
      <c r="T173" s="246"/>
    </row>
    <row r="174" spans="1:23" ht="15" customHeight="1">
      <c r="A174" s="224"/>
      <c r="B174" s="225"/>
      <c r="C174" s="226"/>
      <c r="D174" s="225"/>
      <c r="E174" s="247"/>
      <c r="F174" s="238" t="s">
        <v>1434</v>
      </c>
      <c r="G174" s="252">
        <v>100000</v>
      </c>
      <c r="H174" s="240" t="s">
        <v>277</v>
      </c>
      <c r="I174" s="241">
        <v>2</v>
      </c>
      <c r="J174" s="240" t="s">
        <v>109</v>
      </c>
      <c r="K174" s="242">
        <v>12</v>
      </c>
      <c r="L174" s="243"/>
      <c r="M174" s="242"/>
      <c r="N174" s="244"/>
      <c r="O174" s="244" t="s">
        <v>925</v>
      </c>
      <c r="P174" s="245">
        <f>ROUNDUP(G174*I174*K174,-3)</f>
        <v>2400000</v>
      </c>
      <c r="Q174" s="235"/>
      <c r="R174" s="997"/>
      <c r="S174" s="235"/>
      <c r="T174" s="246"/>
    </row>
    <row r="175" spans="1:23" ht="15" customHeight="1">
      <c r="A175" s="224"/>
      <c r="B175" s="225"/>
      <c r="C175" s="226"/>
      <c r="D175" s="225"/>
      <c r="E175" s="237"/>
      <c r="F175" s="231" t="s">
        <v>1433</v>
      </c>
      <c r="G175" s="249"/>
      <c r="H175" s="240"/>
      <c r="I175" s="240"/>
      <c r="J175" s="240"/>
      <c r="K175" s="240"/>
      <c r="L175" s="250"/>
      <c r="M175" s="240"/>
      <c r="N175" s="244"/>
      <c r="O175" s="244"/>
      <c r="P175" s="251">
        <f>SUM(P176:P176)</f>
        <v>1200000</v>
      </c>
      <c r="Q175" s="235"/>
      <c r="R175" s="997"/>
      <c r="S175" s="235"/>
      <c r="T175" s="246"/>
    </row>
    <row r="176" spans="1:23" ht="15" customHeight="1">
      <c r="A176" s="224"/>
      <c r="B176" s="225"/>
      <c r="C176" s="226"/>
      <c r="D176" s="225"/>
      <c r="E176" s="247"/>
      <c r="F176" s="238" t="s">
        <v>1432</v>
      </c>
      <c r="G176" s="252">
        <v>50000</v>
      </c>
      <c r="H176" s="240" t="s">
        <v>924</v>
      </c>
      <c r="I176" s="241">
        <v>2</v>
      </c>
      <c r="J176" s="240" t="s">
        <v>109</v>
      </c>
      <c r="K176" s="242">
        <v>12</v>
      </c>
      <c r="L176" s="243"/>
      <c r="M176" s="242"/>
      <c r="N176" s="244"/>
      <c r="O176" s="244" t="s">
        <v>925</v>
      </c>
      <c r="P176" s="245">
        <f>ROUNDUP(G176*I176*K176,-3)</f>
        <v>1200000</v>
      </c>
      <c r="Q176" s="235"/>
      <c r="R176" s="997"/>
      <c r="S176" s="235"/>
      <c r="T176" s="246"/>
    </row>
    <row r="177" spans="1:21" ht="15" customHeight="1">
      <c r="A177" s="224"/>
      <c r="B177" s="225"/>
      <c r="C177" s="226"/>
      <c r="D177" s="225"/>
      <c r="E177" s="226"/>
      <c r="F177" s="231" t="s">
        <v>1431</v>
      </c>
      <c r="G177" s="249"/>
      <c r="H177" s="240"/>
      <c r="I177" s="240"/>
      <c r="J177" s="240"/>
      <c r="K177" s="240"/>
      <c r="L177" s="250"/>
      <c r="M177" s="240"/>
      <c r="N177" s="244"/>
      <c r="O177" s="244"/>
      <c r="P177" s="251">
        <f>SUM(P178:P181)</f>
        <v>604000</v>
      </c>
      <c r="Q177" s="235"/>
      <c r="R177" s="997"/>
      <c r="S177" s="235"/>
      <c r="T177" s="246"/>
    </row>
    <row r="178" spans="1:21" ht="15" customHeight="1">
      <c r="A178" s="224"/>
      <c r="B178" s="225"/>
      <c r="C178" s="226"/>
      <c r="D178" s="225"/>
      <c r="E178" s="237"/>
      <c r="F178" s="248" t="s">
        <v>1430</v>
      </c>
      <c r="G178" s="326">
        <v>18238</v>
      </c>
      <c r="H178" s="240" t="s">
        <v>277</v>
      </c>
      <c r="I178" s="241">
        <v>1</v>
      </c>
      <c r="J178" s="240" t="s">
        <v>109</v>
      </c>
      <c r="K178" s="242">
        <v>6</v>
      </c>
      <c r="L178" s="240" t="s">
        <v>924</v>
      </c>
      <c r="M178" s="1709">
        <v>1.5</v>
      </c>
      <c r="N178" s="244"/>
      <c r="O178" s="244" t="s">
        <v>925</v>
      </c>
      <c r="P178" s="245">
        <f>ROUNDUP(G178*I178*K178*M178,-3)</f>
        <v>165000</v>
      </c>
      <c r="Q178" s="235"/>
      <c r="R178" s="997"/>
      <c r="S178" s="235"/>
      <c r="T178" s="246"/>
    </row>
    <row r="179" spans="1:21" ht="15" customHeight="1">
      <c r="A179" s="576"/>
      <c r="B179" s="278"/>
      <c r="C179" s="279"/>
      <c r="D179" s="278"/>
      <c r="E179" s="577"/>
      <c r="F179" s="281"/>
      <c r="G179" s="1710">
        <v>18526</v>
      </c>
      <c r="H179" s="283" t="s">
        <v>277</v>
      </c>
      <c r="I179" s="1118">
        <v>1</v>
      </c>
      <c r="J179" s="283" t="s">
        <v>109</v>
      </c>
      <c r="K179" s="284">
        <v>6</v>
      </c>
      <c r="L179" s="283" t="s">
        <v>277</v>
      </c>
      <c r="M179" s="1711">
        <v>1.5</v>
      </c>
      <c r="N179" s="285"/>
      <c r="O179" s="285" t="s">
        <v>925</v>
      </c>
      <c r="P179" s="286">
        <f>ROUNDUP(G179*I179*K179*M179,-3)</f>
        <v>167000</v>
      </c>
      <c r="Q179" s="287"/>
      <c r="R179" s="1027"/>
      <c r="S179" s="287"/>
      <c r="T179" s="288"/>
    </row>
    <row r="180" spans="1:21" ht="15" customHeight="1">
      <c r="A180" s="224"/>
      <c r="B180" s="225"/>
      <c r="C180" s="226"/>
      <c r="D180" s="225"/>
      <c r="E180" s="237"/>
      <c r="F180" s="248" t="s">
        <v>1417</v>
      </c>
      <c r="G180" s="326">
        <v>15021</v>
      </c>
      <c r="H180" s="240" t="s">
        <v>277</v>
      </c>
      <c r="I180" s="241">
        <v>1</v>
      </c>
      <c r="J180" s="240" t="s">
        <v>109</v>
      </c>
      <c r="K180" s="242">
        <v>11</v>
      </c>
      <c r="L180" s="240" t="s">
        <v>924</v>
      </c>
      <c r="M180" s="1709">
        <v>1.5</v>
      </c>
      <c r="N180" s="244"/>
      <c r="O180" s="244" t="s">
        <v>283</v>
      </c>
      <c r="P180" s="245">
        <f>ROUNDUP(G180*I180*K180*M180,-3)</f>
        <v>248000</v>
      </c>
      <c r="Q180" s="235"/>
      <c r="R180" s="997"/>
      <c r="S180" s="235"/>
      <c r="T180" s="246"/>
    </row>
    <row r="181" spans="1:21" ht="15" customHeight="1">
      <c r="A181" s="224"/>
      <c r="B181" s="225"/>
      <c r="C181" s="226"/>
      <c r="D181" s="225"/>
      <c r="E181" s="237"/>
      <c r="F181" s="238"/>
      <c r="G181" s="326">
        <v>15348</v>
      </c>
      <c r="H181" s="240" t="s">
        <v>277</v>
      </c>
      <c r="I181" s="241">
        <v>1</v>
      </c>
      <c r="J181" s="240" t="s">
        <v>109</v>
      </c>
      <c r="K181" s="242">
        <v>1</v>
      </c>
      <c r="L181" s="240" t="s">
        <v>924</v>
      </c>
      <c r="M181" s="1709">
        <v>1.5</v>
      </c>
      <c r="N181" s="244"/>
      <c r="O181" s="244" t="s">
        <v>925</v>
      </c>
      <c r="P181" s="245">
        <f>ROUNDUP(G181*I181*K181*M181,-3)</f>
        <v>24000</v>
      </c>
      <c r="Q181" s="235"/>
      <c r="R181" s="997"/>
      <c r="S181" s="235"/>
      <c r="T181" s="246"/>
    </row>
    <row r="182" spans="1:21" ht="15" customHeight="1">
      <c r="A182" s="224"/>
      <c r="B182" s="225"/>
      <c r="C182" s="226"/>
      <c r="D182" s="225"/>
      <c r="E182" s="226"/>
      <c r="F182" s="231" t="s">
        <v>1429</v>
      </c>
      <c r="G182" s="249"/>
      <c r="H182" s="240"/>
      <c r="I182" s="240"/>
      <c r="J182" s="240"/>
      <c r="K182" s="240"/>
      <c r="L182" s="250"/>
      <c r="M182" s="240"/>
      <c r="N182" s="244"/>
      <c r="O182" s="244"/>
      <c r="P182" s="251">
        <f>SUM(P183:P183)</f>
        <v>7015000</v>
      </c>
      <c r="Q182" s="235"/>
      <c r="R182" s="997"/>
      <c r="S182" s="235"/>
      <c r="T182" s="246"/>
    </row>
    <row r="183" spans="1:21" ht="15" customHeight="1">
      <c r="A183" s="224"/>
      <c r="B183" s="225"/>
      <c r="C183" s="226"/>
      <c r="D183" s="225"/>
      <c r="E183" s="237"/>
      <c r="F183" s="238" t="s">
        <v>1428</v>
      </c>
      <c r="G183" s="252">
        <v>84170510</v>
      </c>
      <c r="H183" s="240" t="s">
        <v>924</v>
      </c>
      <c r="I183" s="1998">
        <v>12</v>
      </c>
      <c r="J183" s="1998"/>
      <c r="K183" s="242"/>
      <c r="L183" s="243"/>
      <c r="M183" s="242"/>
      <c r="N183" s="244"/>
      <c r="O183" s="244" t="s">
        <v>925</v>
      </c>
      <c r="P183" s="245">
        <f>ROUNDUP((G183/12),-3)</f>
        <v>7015000</v>
      </c>
      <c r="Q183" s="235"/>
      <c r="R183" s="997"/>
      <c r="S183" s="235"/>
      <c r="T183" s="246"/>
    </row>
    <row r="184" spans="1:21" ht="15" customHeight="1">
      <c r="A184" s="224"/>
      <c r="B184" s="225"/>
      <c r="C184" s="226"/>
      <c r="D184" s="225"/>
      <c r="E184" s="226"/>
      <c r="F184" s="231" t="s">
        <v>1427</v>
      </c>
      <c r="G184" s="249"/>
      <c r="H184" s="240"/>
      <c r="I184" s="240"/>
      <c r="J184" s="240"/>
      <c r="K184" s="240"/>
      <c r="L184" s="250"/>
      <c r="M184" s="240"/>
      <c r="N184" s="244"/>
      <c r="O184" s="244"/>
      <c r="P184" s="251">
        <f>SUM(P185:P189)</f>
        <v>7763000</v>
      </c>
      <c r="Q184" s="235"/>
      <c r="R184" s="997"/>
      <c r="S184" s="235"/>
      <c r="T184" s="246"/>
    </row>
    <row r="185" spans="1:21" ht="15" customHeight="1">
      <c r="A185" s="224"/>
      <c r="B185" s="225"/>
      <c r="C185" s="226"/>
      <c r="D185" s="225"/>
      <c r="E185" s="237"/>
      <c r="F185" s="238" t="s">
        <v>1426</v>
      </c>
      <c r="G185" s="252">
        <v>83581700</v>
      </c>
      <c r="H185" s="240" t="s">
        <v>277</v>
      </c>
      <c r="I185" s="2004">
        <v>4.4999999999999998E-2</v>
      </c>
      <c r="J185" s="2004"/>
      <c r="K185" s="242"/>
      <c r="L185" s="243"/>
      <c r="M185" s="242"/>
      <c r="N185" s="244"/>
      <c r="O185" s="244" t="s">
        <v>925</v>
      </c>
      <c r="P185" s="245">
        <f>ROUNDUP(G185*I185,-3)</f>
        <v>3762000</v>
      </c>
      <c r="Q185" s="235"/>
      <c r="R185" s="997"/>
      <c r="S185" s="235"/>
      <c r="T185" s="246"/>
    </row>
    <row r="186" spans="1:21" ht="15" customHeight="1">
      <c r="A186" s="224"/>
      <c r="B186" s="225"/>
      <c r="C186" s="226"/>
      <c r="D186" s="225"/>
      <c r="E186" s="247"/>
      <c r="F186" s="248" t="s">
        <v>1425</v>
      </c>
      <c r="G186" s="252">
        <v>83581700</v>
      </c>
      <c r="H186" s="240" t="s">
        <v>277</v>
      </c>
      <c r="I186" s="2004">
        <v>3.0599999999999999E-2</v>
      </c>
      <c r="J186" s="2004"/>
      <c r="K186" s="242"/>
      <c r="L186" s="243"/>
      <c r="M186" s="242"/>
      <c r="N186" s="244"/>
      <c r="O186" s="244" t="s">
        <v>283</v>
      </c>
      <c r="P186" s="245">
        <f>ROUNDUP(G186*I186,-3)</f>
        <v>2558000</v>
      </c>
      <c r="Q186" s="235"/>
      <c r="R186" s="997"/>
      <c r="S186" s="235"/>
      <c r="T186" s="246"/>
    </row>
    <row r="187" spans="1:21" ht="15" customHeight="1">
      <c r="A187" s="224"/>
      <c r="B187" s="225"/>
      <c r="C187" s="226"/>
      <c r="D187" s="225"/>
      <c r="E187" s="247"/>
      <c r="F187" s="248" t="s">
        <v>1424</v>
      </c>
      <c r="G187" s="252">
        <v>2557600</v>
      </c>
      <c r="H187" s="240" t="s">
        <v>277</v>
      </c>
      <c r="I187" s="2004">
        <v>6.5500000000000003E-2</v>
      </c>
      <c r="J187" s="2004"/>
      <c r="K187" s="242"/>
      <c r="L187" s="243"/>
      <c r="M187" s="242"/>
      <c r="N187" s="244"/>
      <c r="O187" s="244" t="s">
        <v>925</v>
      </c>
      <c r="P187" s="245">
        <f>ROUNDUP(G187*I187,-3)</f>
        <v>168000</v>
      </c>
      <c r="Q187" s="235"/>
      <c r="R187" s="997"/>
      <c r="S187" s="235"/>
      <c r="T187" s="246"/>
    </row>
    <row r="188" spans="1:21" ht="15" customHeight="1">
      <c r="A188" s="224"/>
      <c r="B188" s="225"/>
      <c r="C188" s="226"/>
      <c r="D188" s="225"/>
      <c r="E188" s="247"/>
      <c r="F188" s="248" t="s">
        <v>1423</v>
      </c>
      <c r="G188" s="252">
        <v>83581700</v>
      </c>
      <c r="H188" s="240" t="s">
        <v>277</v>
      </c>
      <c r="I188" s="2004">
        <v>8.9999999999999993E-3</v>
      </c>
      <c r="J188" s="2004"/>
      <c r="K188" s="242"/>
      <c r="L188" s="243"/>
      <c r="M188" s="242"/>
      <c r="N188" s="244"/>
      <c r="O188" s="244" t="s">
        <v>283</v>
      </c>
      <c r="P188" s="245">
        <f>ROUNDUP(G188*I188,-3)</f>
        <v>753000</v>
      </c>
      <c r="Q188" s="235"/>
      <c r="R188" s="997"/>
      <c r="S188" s="235"/>
      <c r="T188" s="246"/>
    </row>
    <row r="189" spans="1:21" ht="15" customHeight="1">
      <c r="A189" s="224"/>
      <c r="B189" s="225"/>
      <c r="C189" s="226"/>
      <c r="D189" s="225"/>
      <c r="E189" s="247"/>
      <c r="F189" s="248" t="s">
        <v>1422</v>
      </c>
      <c r="G189" s="252">
        <v>83581700</v>
      </c>
      <c r="H189" s="240" t="s">
        <v>924</v>
      </c>
      <c r="I189" s="2004">
        <v>6.2399999999999999E-3</v>
      </c>
      <c r="J189" s="2004"/>
      <c r="K189" s="242"/>
      <c r="L189" s="243"/>
      <c r="M189" s="242"/>
      <c r="N189" s="244"/>
      <c r="O189" s="244" t="s">
        <v>283</v>
      </c>
      <c r="P189" s="245">
        <f>ROUNDUP(G189*I189,-3)</f>
        <v>522000</v>
      </c>
      <c r="Q189" s="235"/>
      <c r="R189" s="997"/>
      <c r="S189" s="235"/>
      <c r="T189" s="246"/>
    </row>
    <row r="190" spans="1:21" ht="15" customHeight="1">
      <c r="A190" s="224"/>
      <c r="B190" s="225"/>
      <c r="C190" s="226"/>
      <c r="D190" s="225"/>
      <c r="E190" s="66" t="s">
        <v>2346</v>
      </c>
      <c r="F190" s="269"/>
      <c r="G190" s="270"/>
      <c r="H190" s="268"/>
      <c r="I190" s="268"/>
      <c r="J190" s="268"/>
      <c r="K190" s="268"/>
      <c r="L190" s="1556"/>
      <c r="M190" s="268"/>
      <c r="N190" s="271"/>
      <c r="O190" s="271"/>
      <c r="P190" s="268"/>
      <c r="Q190" s="171">
        <f>ROUNDUP(SUM(P191),-3)</f>
        <v>17595000</v>
      </c>
      <c r="R190" s="171"/>
      <c r="S190" s="171"/>
      <c r="T190" s="172"/>
    </row>
    <row r="191" spans="1:21" s="826" customFormat="1" ht="15" customHeight="1">
      <c r="A191" s="857"/>
      <c r="B191" s="858"/>
      <c r="C191" s="859"/>
      <c r="D191" s="858"/>
      <c r="E191" s="339"/>
      <c r="F191" s="1293" t="s">
        <v>2332</v>
      </c>
      <c r="G191" s="865"/>
      <c r="H191" s="339"/>
      <c r="I191" s="339"/>
      <c r="J191" s="339"/>
      <c r="K191" s="339"/>
      <c r="L191" s="1216"/>
      <c r="M191" s="339"/>
      <c r="N191" s="866"/>
      <c r="O191" s="866"/>
      <c r="P191" s="867">
        <f>SUM(P193+P195+P197+P199+P202+P207)</f>
        <v>17595000</v>
      </c>
      <c r="Q191" s="1198"/>
      <c r="R191" s="1198"/>
      <c r="S191" s="1198"/>
      <c r="T191" s="1199"/>
      <c r="U191" s="1292"/>
    </row>
    <row r="192" spans="1:21" ht="15" customHeight="1">
      <c r="A192" s="224"/>
      <c r="B192" s="225"/>
      <c r="C192" s="226"/>
      <c r="D192" s="225"/>
      <c r="E192" s="226"/>
      <c r="F192" s="1293" t="s">
        <v>1421</v>
      </c>
      <c r="G192" s="232"/>
      <c r="H192" s="226"/>
      <c r="I192" s="226"/>
      <c r="J192" s="226"/>
      <c r="K192" s="226"/>
      <c r="L192" s="1386"/>
      <c r="M192" s="226"/>
      <c r="N192" s="233"/>
      <c r="O192" s="233"/>
      <c r="P192" s="234"/>
      <c r="Q192" s="101"/>
      <c r="R192" s="101"/>
      <c r="S192" s="101"/>
      <c r="T192" s="102"/>
    </row>
    <row r="193" spans="1:22" ht="15" customHeight="1">
      <c r="A193" s="224"/>
      <c r="B193" s="225"/>
      <c r="C193" s="226"/>
      <c r="D193" s="225"/>
      <c r="E193" s="247"/>
      <c r="F193" s="231" t="s">
        <v>1420</v>
      </c>
      <c r="G193" s="232"/>
      <c r="H193" s="226"/>
      <c r="I193" s="226"/>
      <c r="J193" s="226"/>
      <c r="K193" s="226"/>
      <c r="L193" s="1386"/>
      <c r="M193" s="226"/>
      <c r="N193" s="233"/>
      <c r="O193" s="233"/>
      <c r="P193" s="251">
        <f>SUM(P194:P194)</f>
        <v>4800000</v>
      </c>
      <c r="Q193" s="235"/>
      <c r="R193" s="997"/>
      <c r="S193" s="235"/>
      <c r="T193" s="246"/>
      <c r="V193" s="275"/>
    </row>
    <row r="194" spans="1:22" ht="15" customHeight="1">
      <c r="A194" s="224"/>
      <c r="B194" s="225"/>
      <c r="C194" s="226"/>
      <c r="D194" s="225"/>
      <c r="E194" s="247"/>
      <c r="F194" s="248" t="s">
        <v>1407</v>
      </c>
      <c r="G194" s="239">
        <v>100000</v>
      </c>
      <c r="H194" s="240" t="s">
        <v>924</v>
      </c>
      <c r="I194" s="241">
        <v>4</v>
      </c>
      <c r="J194" s="240" t="s">
        <v>109</v>
      </c>
      <c r="K194" s="242">
        <v>12</v>
      </c>
      <c r="L194" s="243"/>
      <c r="M194" s="242"/>
      <c r="N194" s="244"/>
      <c r="O194" s="244" t="s">
        <v>283</v>
      </c>
      <c r="P194" s="245">
        <f>ROUNDUP(G194*I194*K194,-3)</f>
        <v>4800000</v>
      </c>
      <c r="Q194" s="235"/>
      <c r="R194" s="997"/>
      <c r="S194" s="235"/>
      <c r="T194" s="246"/>
    </row>
    <row r="195" spans="1:22" ht="15" customHeight="1">
      <c r="A195" s="224"/>
      <c r="B195" s="225"/>
      <c r="C195" s="226"/>
      <c r="D195" s="225"/>
      <c r="E195" s="247"/>
      <c r="F195" s="231" t="s">
        <v>1419</v>
      </c>
      <c r="G195" s="232"/>
      <c r="H195" s="226"/>
      <c r="I195" s="226"/>
      <c r="J195" s="226"/>
      <c r="K195" s="226"/>
      <c r="L195" s="1386"/>
      <c r="M195" s="226"/>
      <c r="N195" s="233"/>
      <c r="O195" s="233"/>
      <c r="P195" s="251">
        <f>SUM(P196:P196)</f>
        <v>6240000</v>
      </c>
      <c r="Q195" s="235"/>
      <c r="R195" s="997"/>
      <c r="S195" s="235"/>
      <c r="T195" s="246"/>
    </row>
    <row r="196" spans="1:22" ht="15" customHeight="1">
      <c r="A196" s="224"/>
      <c r="B196" s="225"/>
      <c r="C196" s="226"/>
      <c r="D196" s="225"/>
      <c r="E196" s="247"/>
      <c r="F196" s="248" t="s">
        <v>1407</v>
      </c>
      <c r="G196" s="239">
        <v>130000</v>
      </c>
      <c r="H196" s="240" t="s">
        <v>924</v>
      </c>
      <c r="I196" s="241">
        <v>4</v>
      </c>
      <c r="J196" s="240" t="s">
        <v>109</v>
      </c>
      <c r="K196" s="242">
        <v>12</v>
      </c>
      <c r="L196" s="243"/>
      <c r="M196" s="242"/>
      <c r="N196" s="244"/>
      <c r="O196" s="244" t="s">
        <v>925</v>
      </c>
      <c r="P196" s="245">
        <f>ROUNDUP(G196*I196*K196,-3)</f>
        <v>6240000</v>
      </c>
      <c r="Q196" s="235"/>
      <c r="R196" s="997"/>
      <c r="S196" s="235"/>
      <c r="T196" s="246"/>
    </row>
    <row r="197" spans="1:22" ht="15" customHeight="1">
      <c r="A197" s="224"/>
      <c r="B197" s="225"/>
      <c r="C197" s="226"/>
      <c r="D197" s="225"/>
      <c r="E197" s="247"/>
      <c r="F197" s="231" t="s">
        <v>1418</v>
      </c>
      <c r="G197" s="232"/>
      <c r="H197" s="226"/>
      <c r="I197" s="226"/>
      <c r="J197" s="226"/>
      <c r="K197" s="226"/>
      <c r="L197" s="1386"/>
      <c r="M197" s="226"/>
      <c r="N197" s="233"/>
      <c r="O197" s="233"/>
      <c r="P197" s="251">
        <f>SUM(P198:P198)</f>
        <v>2400000</v>
      </c>
      <c r="Q197" s="235"/>
      <c r="R197" s="997"/>
      <c r="S197" s="235"/>
      <c r="T197" s="246"/>
    </row>
    <row r="198" spans="1:22" ht="15" customHeight="1">
      <c r="A198" s="224"/>
      <c r="B198" s="225"/>
      <c r="C198" s="226"/>
      <c r="D198" s="225"/>
      <c r="E198" s="247"/>
      <c r="F198" s="248" t="s">
        <v>1417</v>
      </c>
      <c r="G198" s="239">
        <v>50000</v>
      </c>
      <c r="H198" s="240" t="s">
        <v>277</v>
      </c>
      <c r="I198" s="241">
        <v>4</v>
      </c>
      <c r="J198" s="240" t="s">
        <v>109</v>
      </c>
      <c r="K198" s="242">
        <v>12</v>
      </c>
      <c r="L198" s="243"/>
      <c r="M198" s="242"/>
      <c r="N198" s="244"/>
      <c r="O198" s="244" t="s">
        <v>283</v>
      </c>
      <c r="P198" s="245">
        <f>ROUNDUP(G198*I198*K198,-3)</f>
        <v>2400000</v>
      </c>
      <c r="Q198" s="235"/>
      <c r="R198" s="997"/>
      <c r="S198" s="235"/>
      <c r="T198" s="246"/>
    </row>
    <row r="199" spans="1:22" s="1715" customFormat="1" ht="15" customHeight="1">
      <c r="A199" s="224"/>
      <c r="B199" s="225"/>
      <c r="C199" s="226"/>
      <c r="D199" s="225"/>
      <c r="E199" s="247"/>
      <c r="F199" s="231" t="s">
        <v>1416</v>
      </c>
      <c r="G199" s="232"/>
      <c r="H199" s="226"/>
      <c r="I199" s="226"/>
      <c r="J199" s="226"/>
      <c r="K199" s="226"/>
      <c r="L199" s="1386"/>
      <c r="M199" s="226"/>
      <c r="N199" s="233"/>
      <c r="O199" s="233"/>
      <c r="P199" s="251">
        <f>SUM(P200:P201)</f>
        <v>1440000</v>
      </c>
      <c r="Q199" s="1712"/>
      <c r="R199" s="1713"/>
      <c r="S199" s="1712"/>
      <c r="T199" s="1714"/>
    </row>
    <row r="200" spans="1:22" s="1715" customFormat="1" ht="15" customHeight="1">
      <c r="A200" s="224"/>
      <c r="B200" s="225"/>
      <c r="C200" s="226"/>
      <c r="D200" s="225"/>
      <c r="E200" s="247"/>
      <c r="F200" s="238" t="s">
        <v>1415</v>
      </c>
      <c r="G200" s="1716">
        <v>80000</v>
      </c>
      <c r="H200" s="240" t="s">
        <v>277</v>
      </c>
      <c r="I200" s="241">
        <v>1</v>
      </c>
      <c r="J200" s="240" t="s">
        <v>109</v>
      </c>
      <c r="K200" s="242">
        <v>12</v>
      </c>
      <c r="L200" s="243"/>
      <c r="M200" s="242"/>
      <c r="N200" s="244"/>
      <c r="O200" s="244" t="s">
        <v>283</v>
      </c>
      <c r="P200" s="245">
        <f>ROUNDUP(G200*I200*K200,-3)</f>
        <v>960000</v>
      </c>
      <c r="Q200" s="1712"/>
      <c r="R200" s="1713"/>
      <c r="S200" s="1712"/>
      <c r="T200" s="1714"/>
    </row>
    <row r="201" spans="1:22" s="1715" customFormat="1" ht="15" customHeight="1">
      <c r="A201" s="224"/>
      <c r="B201" s="225"/>
      <c r="C201" s="226"/>
      <c r="D201" s="225"/>
      <c r="E201" s="247"/>
      <c r="F201" s="238" t="s">
        <v>1414</v>
      </c>
      <c r="G201" s="1716">
        <v>40000</v>
      </c>
      <c r="H201" s="240" t="s">
        <v>277</v>
      </c>
      <c r="I201" s="241">
        <v>1</v>
      </c>
      <c r="J201" s="240" t="s">
        <v>109</v>
      </c>
      <c r="K201" s="242">
        <v>12</v>
      </c>
      <c r="L201" s="243"/>
      <c r="M201" s="242"/>
      <c r="N201" s="244"/>
      <c r="O201" s="244" t="s">
        <v>925</v>
      </c>
      <c r="P201" s="245">
        <f>ROUNDUP(G201*I201*K201,-3)</f>
        <v>480000</v>
      </c>
      <c r="Q201" s="1712"/>
      <c r="R201" s="1713"/>
      <c r="S201" s="1712"/>
      <c r="T201" s="1714"/>
    </row>
    <row r="202" spans="1:22" ht="15" customHeight="1">
      <c r="A202" s="224"/>
      <c r="B202" s="225"/>
      <c r="C202" s="226"/>
      <c r="D202" s="225"/>
      <c r="E202" s="226"/>
      <c r="F202" s="231" t="s">
        <v>1413</v>
      </c>
      <c r="G202" s="232"/>
      <c r="H202" s="226"/>
      <c r="I202" s="226"/>
      <c r="J202" s="226"/>
      <c r="K202" s="226"/>
      <c r="L202" s="1386"/>
      <c r="M202" s="226"/>
      <c r="N202" s="233"/>
      <c r="O202" s="233"/>
      <c r="P202" s="251">
        <f>SUM(P203:P206)</f>
        <v>2504000</v>
      </c>
      <c r="Q202" s="101"/>
      <c r="R202" s="101"/>
      <c r="S202" s="101"/>
      <c r="T202" s="102"/>
    </row>
    <row r="203" spans="1:22" ht="15" customHeight="1">
      <c r="A203" s="224"/>
      <c r="B203" s="225"/>
      <c r="C203" s="226"/>
      <c r="D203" s="225"/>
      <c r="E203" s="237"/>
      <c r="F203" s="238" t="s">
        <v>1412</v>
      </c>
      <c r="G203" s="1716">
        <v>640080</v>
      </c>
      <c r="H203" s="240" t="s">
        <v>924</v>
      </c>
      <c r="I203" s="241">
        <v>1</v>
      </c>
      <c r="J203" s="240" t="s">
        <v>109</v>
      </c>
      <c r="K203" s="242">
        <v>1</v>
      </c>
      <c r="L203" s="243"/>
      <c r="M203" s="242"/>
      <c r="N203" s="244"/>
      <c r="O203" s="244" t="s">
        <v>283</v>
      </c>
      <c r="P203" s="245">
        <f>ROUNDUP(G203*I203*K203,-3)</f>
        <v>641000</v>
      </c>
      <c r="Q203" s="235"/>
      <c r="R203" s="997"/>
      <c r="S203" s="235"/>
      <c r="T203" s="246"/>
    </row>
    <row r="204" spans="1:22" ht="15" customHeight="1">
      <c r="A204" s="224"/>
      <c r="B204" s="225"/>
      <c r="C204" s="226"/>
      <c r="D204" s="225"/>
      <c r="E204" s="237"/>
      <c r="F204" s="238" t="s">
        <v>1411</v>
      </c>
      <c r="G204" s="1716">
        <v>620870</v>
      </c>
      <c r="H204" s="240" t="s">
        <v>924</v>
      </c>
      <c r="I204" s="241">
        <v>1</v>
      </c>
      <c r="J204" s="240" t="s">
        <v>109</v>
      </c>
      <c r="K204" s="242">
        <v>1</v>
      </c>
      <c r="L204" s="243"/>
      <c r="M204" s="242"/>
      <c r="N204" s="244"/>
      <c r="O204" s="244" t="s">
        <v>283</v>
      </c>
      <c r="P204" s="245">
        <f>ROUNDUP(G204*I204*K204,-3)</f>
        <v>621000</v>
      </c>
      <c r="Q204" s="235"/>
      <c r="R204" s="997"/>
      <c r="S204" s="235"/>
      <c r="T204" s="246"/>
      <c r="U204" s="275"/>
    </row>
    <row r="205" spans="1:22" ht="15" customHeight="1">
      <c r="A205" s="224"/>
      <c r="B205" s="225"/>
      <c r="C205" s="226"/>
      <c r="D205" s="225"/>
      <c r="E205" s="247"/>
      <c r="F205" s="238" t="s">
        <v>1410</v>
      </c>
      <c r="G205" s="1716">
        <v>620870</v>
      </c>
      <c r="H205" s="240" t="s">
        <v>109</v>
      </c>
      <c r="I205" s="241">
        <v>1</v>
      </c>
      <c r="J205" s="240" t="s">
        <v>109</v>
      </c>
      <c r="K205" s="242">
        <v>1</v>
      </c>
      <c r="L205" s="243"/>
      <c r="M205" s="242"/>
      <c r="N205" s="244"/>
      <c r="O205" s="244" t="s">
        <v>110</v>
      </c>
      <c r="P205" s="245">
        <f>ROUNDUP(G205*I205*K205,-3)</f>
        <v>621000</v>
      </c>
      <c r="Q205" s="235"/>
      <c r="R205" s="997"/>
      <c r="S205" s="235"/>
      <c r="T205" s="246"/>
    </row>
    <row r="206" spans="1:22" ht="15" customHeight="1">
      <c r="A206" s="224"/>
      <c r="B206" s="225"/>
      <c r="C206" s="226"/>
      <c r="D206" s="225"/>
      <c r="E206" s="247"/>
      <c r="F206" s="238" t="s">
        <v>1409</v>
      </c>
      <c r="G206" s="1716">
        <v>620870</v>
      </c>
      <c r="H206" s="240" t="s">
        <v>109</v>
      </c>
      <c r="I206" s="241">
        <v>1</v>
      </c>
      <c r="J206" s="240" t="s">
        <v>109</v>
      </c>
      <c r="K206" s="242">
        <v>1</v>
      </c>
      <c r="L206" s="243"/>
      <c r="M206" s="242"/>
      <c r="N206" s="244"/>
      <c r="O206" s="244" t="s">
        <v>110</v>
      </c>
      <c r="P206" s="245">
        <f>ROUNDUP(G206*I206*K206,-3)</f>
        <v>621000</v>
      </c>
      <c r="Q206" s="235"/>
      <c r="R206" s="997"/>
      <c r="S206" s="235"/>
      <c r="T206" s="246"/>
    </row>
    <row r="207" spans="1:22" ht="15" customHeight="1">
      <c r="A207" s="224"/>
      <c r="B207" s="225"/>
      <c r="C207" s="226"/>
      <c r="D207" s="225"/>
      <c r="E207" s="226"/>
      <c r="F207" s="231" t="s">
        <v>1408</v>
      </c>
      <c r="G207" s="249"/>
      <c r="H207" s="240"/>
      <c r="I207" s="240"/>
      <c r="J207" s="240"/>
      <c r="K207" s="240"/>
      <c r="L207" s="250"/>
      <c r="M207" s="240"/>
      <c r="N207" s="244"/>
      <c r="O207" s="244"/>
      <c r="P207" s="251">
        <f>SUM(P208:P208)</f>
        <v>211000</v>
      </c>
      <c r="Q207" s="235"/>
      <c r="R207" s="997"/>
      <c r="S207" s="235"/>
      <c r="T207" s="246"/>
    </row>
    <row r="208" spans="1:22" ht="15" customHeight="1">
      <c r="A208" s="224"/>
      <c r="B208" s="225"/>
      <c r="C208" s="226"/>
      <c r="D208" s="225"/>
      <c r="E208" s="237"/>
      <c r="F208" s="248" t="s">
        <v>1407</v>
      </c>
      <c r="G208" s="326">
        <f>19375+7000</f>
        <v>26375</v>
      </c>
      <c r="H208" s="240" t="s">
        <v>924</v>
      </c>
      <c r="I208" s="241">
        <v>4</v>
      </c>
      <c r="J208" s="240" t="s">
        <v>109</v>
      </c>
      <c r="K208" s="242">
        <v>2</v>
      </c>
      <c r="L208" s="250"/>
      <c r="M208" s="254"/>
      <c r="N208" s="244"/>
      <c r="O208" s="244" t="s">
        <v>283</v>
      </c>
      <c r="P208" s="245">
        <f>ROUNDUP(G208*I208*K208,-3)</f>
        <v>211000</v>
      </c>
      <c r="Q208" s="235"/>
      <c r="R208" s="997"/>
      <c r="S208" s="235"/>
      <c r="T208" s="246"/>
      <c r="U208" s="275"/>
    </row>
    <row r="209" spans="1:24" ht="15" customHeight="1">
      <c r="A209" s="224"/>
      <c r="B209" s="222"/>
      <c r="C209" s="214" t="s">
        <v>1404</v>
      </c>
      <c r="D209" s="266"/>
      <c r="E209" s="214"/>
      <c r="F209" s="215"/>
      <c r="G209" s="216"/>
      <c r="H209" s="217"/>
      <c r="I209" s="217"/>
      <c r="J209" s="217"/>
      <c r="K209" s="217"/>
      <c r="L209" s="218"/>
      <c r="M209" s="217"/>
      <c r="N209" s="219"/>
      <c r="O209" s="219"/>
      <c r="P209" s="217"/>
      <c r="Q209" s="220">
        <f>Q210</f>
        <v>20160000</v>
      </c>
      <c r="R209" s="220">
        <f>R210</f>
        <v>21040000</v>
      </c>
      <c r="S209" s="220">
        <f t="shared" ref="S209:S215" si="7">Q209-R209</f>
        <v>-880000</v>
      </c>
      <c r="T209" s="306">
        <v>0</v>
      </c>
    </row>
    <row r="210" spans="1:24" ht="15" customHeight="1">
      <c r="A210" s="224"/>
      <c r="B210" s="222"/>
      <c r="C210" s="223"/>
      <c r="D210" s="394" t="s">
        <v>1403</v>
      </c>
      <c r="E210" s="84"/>
      <c r="F210" s="85"/>
      <c r="G210" s="86"/>
      <c r="H210" s="84"/>
      <c r="I210" s="84"/>
      <c r="J210" s="84"/>
      <c r="K210" s="84"/>
      <c r="L210" s="83"/>
      <c r="M210" s="84"/>
      <c r="N210" s="87"/>
      <c r="O210" s="87"/>
      <c r="P210" s="84"/>
      <c r="Q210" s="76">
        <f>Q211+Q212+Q213+Q214+Q215</f>
        <v>20160000</v>
      </c>
      <c r="R210" s="76">
        <f>R211+R212+R213+R214+R215</f>
        <v>21040000</v>
      </c>
      <c r="S210" s="76">
        <f t="shared" si="7"/>
        <v>-880000</v>
      </c>
      <c r="T210" s="135">
        <v>0</v>
      </c>
      <c r="W210" s="196">
        <v>2018</v>
      </c>
      <c r="X210" s="196">
        <v>2017</v>
      </c>
    </row>
    <row r="211" spans="1:24" ht="15" customHeight="1">
      <c r="A211" s="1717"/>
      <c r="B211" s="240"/>
      <c r="C211" s="1718"/>
      <c r="D211" s="1142"/>
      <c r="E211" s="255" t="s">
        <v>1402</v>
      </c>
      <c r="F211" s="227"/>
      <c r="G211" s="228"/>
      <c r="H211" s="66"/>
      <c r="I211" s="66"/>
      <c r="J211" s="66"/>
      <c r="K211" s="66"/>
      <c r="L211" s="229"/>
      <c r="M211" s="66"/>
      <c r="N211" s="230"/>
      <c r="O211" s="230"/>
      <c r="P211" s="66"/>
      <c r="Q211" s="171">
        <v>0</v>
      </c>
      <c r="R211" s="171">
        <v>600000</v>
      </c>
      <c r="S211" s="171">
        <f t="shared" si="7"/>
        <v>-600000</v>
      </c>
      <c r="T211" s="172">
        <f>S211/R211</f>
        <v>-1</v>
      </c>
      <c r="V211" s="196" t="s">
        <v>2133</v>
      </c>
      <c r="W211" s="236">
        <f>Q212+Q213+Q214</f>
        <v>0</v>
      </c>
      <c r="X211" s="236">
        <f>R212+R213+R214</f>
        <v>9400000</v>
      </c>
    </row>
    <row r="212" spans="1:24" ht="15" customHeight="1">
      <c r="A212" s="1717"/>
      <c r="B212" s="240"/>
      <c r="C212" s="1718"/>
      <c r="D212" s="1142"/>
      <c r="E212" s="255" t="s">
        <v>1401</v>
      </c>
      <c r="F212" s="227"/>
      <c r="G212" s="228"/>
      <c r="H212" s="66"/>
      <c r="I212" s="66"/>
      <c r="J212" s="66"/>
      <c r="K212" s="66"/>
      <c r="L212" s="229"/>
      <c r="M212" s="66"/>
      <c r="N212" s="230"/>
      <c r="O212" s="230"/>
      <c r="P212" s="66"/>
      <c r="Q212" s="171">
        <v>0</v>
      </c>
      <c r="R212" s="171">
        <v>1960000</v>
      </c>
      <c r="S212" s="171">
        <f t="shared" si="7"/>
        <v>-1960000</v>
      </c>
      <c r="T212" s="172">
        <f>S212/R212</f>
        <v>-1</v>
      </c>
    </row>
    <row r="213" spans="1:24" ht="15" customHeight="1">
      <c r="A213" s="1717"/>
      <c r="B213" s="240"/>
      <c r="C213" s="1718"/>
      <c r="D213" s="1142"/>
      <c r="E213" s="255" t="s">
        <v>1400</v>
      </c>
      <c r="F213" s="227"/>
      <c r="G213" s="228"/>
      <c r="H213" s="66"/>
      <c r="I213" s="66"/>
      <c r="J213" s="66"/>
      <c r="K213" s="66"/>
      <c r="L213" s="229"/>
      <c r="M213" s="66"/>
      <c r="N213" s="230"/>
      <c r="O213" s="230"/>
      <c r="P213" s="66"/>
      <c r="Q213" s="171">
        <v>0</v>
      </c>
      <c r="R213" s="171">
        <v>6600000</v>
      </c>
      <c r="S213" s="171">
        <f t="shared" si="7"/>
        <v>-6600000</v>
      </c>
      <c r="T213" s="172">
        <f>S213/R213</f>
        <v>-1</v>
      </c>
    </row>
    <row r="214" spans="1:24" ht="15" customHeight="1">
      <c r="A214" s="1719"/>
      <c r="B214" s="283"/>
      <c r="C214" s="1720"/>
      <c r="D214" s="1721"/>
      <c r="E214" s="255" t="s">
        <v>689</v>
      </c>
      <c r="F214" s="227"/>
      <c r="G214" s="228"/>
      <c r="H214" s="66"/>
      <c r="I214" s="66"/>
      <c r="J214" s="66"/>
      <c r="K214" s="66"/>
      <c r="L214" s="229"/>
      <c r="M214" s="66"/>
      <c r="N214" s="230"/>
      <c r="O214" s="230"/>
      <c r="P214" s="66"/>
      <c r="Q214" s="171">
        <v>0</v>
      </c>
      <c r="R214" s="171">
        <v>840000</v>
      </c>
      <c r="S214" s="171">
        <f t="shared" si="7"/>
        <v>-840000</v>
      </c>
      <c r="T214" s="172">
        <f>S214/R214</f>
        <v>-1</v>
      </c>
    </row>
    <row r="215" spans="1:24" ht="15" customHeight="1">
      <c r="A215" s="1717"/>
      <c r="B215" s="240"/>
      <c r="C215" s="1718"/>
      <c r="D215" s="1142"/>
      <c r="E215" s="1112" t="s">
        <v>1399</v>
      </c>
      <c r="F215" s="364"/>
      <c r="G215" s="365"/>
      <c r="H215" s="363"/>
      <c r="I215" s="363"/>
      <c r="J215" s="363"/>
      <c r="K215" s="363"/>
      <c r="L215" s="366"/>
      <c r="M215" s="363"/>
      <c r="N215" s="367"/>
      <c r="O215" s="367"/>
      <c r="P215" s="363"/>
      <c r="Q215" s="188">
        <f>P216+P219+P221</f>
        <v>20160000</v>
      </c>
      <c r="R215" s="188">
        <v>11040000</v>
      </c>
      <c r="S215" s="188">
        <f t="shared" si="7"/>
        <v>9120000</v>
      </c>
      <c r="T215" s="570">
        <f>S215/R215</f>
        <v>0.82608695652173914</v>
      </c>
    </row>
    <row r="216" spans="1:24" ht="15" customHeight="1">
      <c r="A216" s="1717"/>
      <c r="B216" s="240"/>
      <c r="C216" s="1718"/>
      <c r="D216" s="1142"/>
      <c r="E216" s="521"/>
      <c r="F216" s="226" t="s">
        <v>1398</v>
      </c>
      <c r="G216" s="232"/>
      <c r="H216" s="226"/>
      <c r="I216" s="226"/>
      <c r="J216" s="226"/>
      <c r="K216" s="226"/>
      <c r="L216" s="1386"/>
      <c r="M216" s="233"/>
      <c r="N216" s="226"/>
      <c r="O216" s="233"/>
      <c r="P216" s="234">
        <f>SUM(P217+P219+P221)</f>
        <v>17280000</v>
      </c>
      <c r="Q216" s="1718"/>
      <c r="R216" s="1718"/>
      <c r="S216" s="1718"/>
      <c r="T216" s="1722"/>
    </row>
    <row r="217" spans="1:24" ht="15" customHeight="1">
      <c r="A217" s="1717"/>
      <c r="B217" s="240"/>
      <c r="C217" s="1718"/>
      <c r="D217" s="1142"/>
      <c r="E217" s="521"/>
      <c r="F217" s="237" t="s">
        <v>1393</v>
      </c>
      <c r="G217" s="1567">
        <v>600000</v>
      </c>
      <c r="H217" s="226" t="s">
        <v>924</v>
      </c>
      <c r="I217" s="1723">
        <v>2</v>
      </c>
      <c r="J217" s="226" t="s">
        <v>277</v>
      </c>
      <c r="K217" s="1568">
        <v>12</v>
      </c>
      <c r="L217" s="1569"/>
      <c r="M217" s="233"/>
      <c r="N217" s="226"/>
      <c r="O217" s="233" t="s">
        <v>925</v>
      </c>
      <c r="P217" s="1570">
        <f>+G217*I217*K217</f>
        <v>14400000</v>
      </c>
      <c r="Q217" s="1718"/>
      <c r="R217" s="1718"/>
      <c r="S217" s="1718"/>
      <c r="T217" s="1722"/>
    </row>
    <row r="218" spans="1:24" ht="15" customHeight="1">
      <c r="A218" s="1717"/>
      <c r="B218" s="240"/>
      <c r="C218" s="1718"/>
      <c r="D218" s="1142"/>
      <c r="E218" s="521"/>
      <c r="F218" s="237" t="s">
        <v>1397</v>
      </c>
      <c r="G218" s="1567">
        <v>30000</v>
      </c>
      <c r="H218" s="226" t="s">
        <v>924</v>
      </c>
      <c r="I218" s="1723">
        <v>2</v>
      </c>
      <c r="J218" s="226" t="s">
        <v>924</v>
      </c>
      <c r="K218" s="1568">
        <v>12</v>
      </c>
      <c r="L218" s="226" t="s">
        <v>109</v>
      </c>
      <c r="M218" s="1724">
        <v>4</v>
      </c>
      <c r="N218" s="226"/>
      <c r="O218" s="233" t="s">
        <v>925</v>
      </c>
      <c r="P218" s="1570">
        <f>+G218*I218*K218*M218</f>
        <v>2880000</v>
      </c>
      <c r="Q218" s="1718"/>
      <c r="R218" s="1718"/>
      <c r="S218" s="1718"/>
      <c r="T218" s="1722"/>
      <c r="W218" s="275"/>
    </row>
    <row r="219" spans="1:24" ht="15" customHeight="1">
      <c r="A219" s="1717"/>
      <c r="B219" s="240"/>
      <c r="C219" s="1718"/>
      <c r="D219" s="240"/>
      <c r="E219" s="521"/>
      <c r="F219" s="226" t="s">
        <v>1396</v>
      </c>
      <c r="G219" s="232"/>
      <c r="H219" s="226"/>
      <c r="I219" s="226"/>
      <c r="J219" s="226"/>
      <c r="K219" s="226"/>
      <c r="L219" s="1386"/>
      <c r="M219" s="233"/>
      <c r="N219" s="226"/>
      <c r="O219" s="233"/>
      <c r="P219" s="234">
        <f>SUM(P220)</f>
        <v>480000</v>
      </c>
      <c r="Q219" s="1718"/>
      <c r="R219" s="1718"/>
      <c r="S219" s="1718"/>
      <c r="T219" s="1722"/>
      <c r="V219" s="275"/>
      <c r="W219" s="275"/>
    </row>
    <row r="220" spans="1:24" ht="15" customHeight="1">
      <c r="A220" s="1717"/>
      <c r="B220" s="240"/>
      <c r="C220" s="1718"/>
      <c r="D220" s="240"/>
      <c r="E220" s="521"/>
      <c r="F220" s="237" t="s">
        <v>1395</v>
      </c>
      <c r="G220" s="1567">
        <v>120000</v>
      </c>
      <c r="H220" s="226" t="s">
        <v>277</v>
      </c>
      <c r="I220" s="1725">
        <v>4</v>
      </c>
      <c r="J220" s="226"/>
      <c r="K220" s="1568"/>
      <c r="L220" s="1569"/>
      <c r="M220" s="233"/>
      <c r="N220" s="226"/>
      <c r="O220" s="233" t="s">
        <v>925</v>
      </c>
      <c r="P220" s="1570">
        <f>G220*I220</f>
        <v>480000</v>
      </c>
      <c r="Q220" s="1718"/>
      <c r="R220" s="1718"/>
      <c r="S220" s="1718"/>
      <c r="T220" s="1722"/>
    </row>
    <row r="221" spans="1:24" ht="15" customHeight="1">
      <c r="A221" s="1717"/>
      <c r="B221" s="240"/>
      <c r="C221" s="1718"/>
      <c r="D221" s="240"/>
      <c r="E221" s="521"/>
      <c r="F221" s="226" t="s">
        <v>1394</v>
      </c>
      <c r="G221" s="232"/>
      <c r="H221" s="226"/>
      <c r="I221" s="226"/>
      <c r="J221" s="226"/>
      <c r="K221" s="226"/>
      <c r="L221" s="1386"/>
      <c r="M221" s="233"/>
      <c r="N221" s="226"/>
      <c r="O221" s="233"/>
      <c r="P221" s="234">
        <f>SUM(P222:P223)</f>
        <v>2400000</v>
      </c>
      <c r="Q221" s="1718"/>
      <c r="R221" s="1718"/>
      <c r="S221" s="1718"/>
      <c r="T221" s="1722"/>
    </row>
    <row r="222" spans="1:24" ht="15" customHeight="1">
      <c r="A222" s="1717"/>
      <c r="B222" s="240"/>
      <c r="C222" s="1718"/>
      <c r="D222" s="240"/>
      <c r="E222" s="521"/>
      <c r="F222" s="237" t="s">
        <v>1393</v>
      </c>
      <c r="G222" s="1567">
        <v>20000</v>
      </c>
      <c r="H222" s="226" t="s">
        <v>924</v>
      </c>
      <c r="I222" s="1617">
        <v>8</v>
      </c>
      <c r="J222" s="226" t="s">
        <v>924</v>
      </c>
      <c r="K222" s="1568">
        <v>12</v>
      </c>
      <c r="L222" s="1569"/>
      <c r="M222" s="233"/>
      <c r="N222" s="226"/>
      <c r="O222" s="233" t="s">
        <v>925</v>
      </c>
      <c r="P222" s="1570">
        <f>+G222*I222*K222</f>
        <v>1920000</v>
      </c>
      <c r="Q222" s="1718"/>
      <c r="R222" s="1718"/>
      <c r="S222" s="1718"/>
      <c r="T222" s="1722"/>
      <c r="W222" s="275"/>
    </row>
    <row r="223" spans="1:24" ht="15" customHeight="1">
      <c r="A223" s="1717"/>
      <c r="B223" s="1726"/>
      <c r="C223" s="1718"/>
      <c r="D223" s="240"/>
      <c r="E223" s="521"/>
      <c r="F223" s="237" t="s">
        <v>1392</v>
      </c>
      <c r="G223" s="1567">
        <v>5000</v>
      </c>
      <c r="H223" s="226" t="s">
        <v>924</v>
      </c>
      <c r="I223" s="1617">
        <v>8</v>
      </c>
      <c r="J223" s="226" t="s">
        <v>924</v>
      </c>
      <c r="K223" s="1568">
        <v>12</v>
      </c>
      <c r="L223" s="1569"/>
      <c r="M223" s="233"/>
      <c r="N223" s="226"/>
      <c r="O223" s="233" t="s">
        <v>925</v>
      </c>
      <c r="P223" s="1570">
        <f>+G223*I223*K223</f>
        <v>480000</v>
      </c>
      <c r="Q223" s="1718"/>
      <c r="R223" s="1718"/>
      <c r="S223" s="1718"/>
      <c r="T223" s="1722"/>
    </row>
    <row r="224" spans="1:24" ht="15" customHeight="1">
      <c r="A224" s="224"/>
      <c r="B224" s="225"/>
      <c r="C224" s="214" t="s">
        <v>1406</v>
      </c>
      <c r="D224" s="214"/>
      <c r="E224" s="214"/>
      <c r="F224" s="215"/>
      <c r="G224" s="216"/>
      <c r="H224" s="217"/>
      <c r="I224" s="217"/>
      <c r="J224" s="217"/>
      <c r="K224" s="217"/>
      <c r="L224" s="218"/>
      <c r="M224" s="217"/>
      <c r="N224" s="219"/>
      <c r="O224" s="219"/>
      <c r="P224" s="217"/>
      <c r="Q224" s="220">
        <f>Q225</f>
        <v>24000</v>
      </c>
      <c r="R224" s="220">
        <f>R225</f>
        <v>0</v>
      </c>
      <c r="S224" s="220">
        <f>Q224-R224</f>
        <v>24000</v>
      </c>
      <c r="T224" s="221">
        <v>1</v>
      </c>
    </row>
    <row r="225" spans="1:20" ht="15" customHeight="1">
      <c r="A225" s="224"/>
      <c r="B225" s="225"/>
      <c r="C225" s="213"/>
      <c r="D225" s="84" t="s">
        <v>1405</v>
      </c>
      <c r="E225" s="84"/>
      <c r="F225" s="85"/>
      <c r="G225" s="86"/>
      <c r="H225" s="84"/>
      <c r="I225" s="84"/>
      <c r="J225" s="84"/>
      <c r="K225" s="84"/>
      <c r="L225" s="83"/>
      <c r="M225" s="84"/>
      <c r="N225" s="87"/>
      <c r="O225" s="87"/>
      <c r="P225" s="84"/>
      <c r="Q225" s="76">
        <f>Q226</f>
        <v>24000</v>
      </c>
      <c r="R225" s="76">
        <f>R226</f>
        <v>0</v>
      </c>
      <c r="S225" s="76">
        <f>Q225-R225</f>
        <v>24000</v>
      </c>
      <c r="T225" s="77">
        <v>1</v>
      </c>
    </row>
    <row r="226" spans="1:20" ht="15" customHeight="1">
      <c r="A226" s="224"/>
      <c r="B226" s="225"/>
      <c r="C226" s="222"/>
      <c r="D226" s="213"/>
      <c r="E226" s="66" t="s">
        <v>1643</v>
      </c>
      <c r="F226" s="227"/>
      <c r="G226" s="228"/>
      <c r="H226" s="66"/>
      <c r="I226" s="66"/>
      <c r="J226" s="66"/>
      <c r="K226" s="66"/>
      <c r="L226" s="229"/>
      <c r="M226" s="66"/>
      <c r="N226" s="230"/>
      <c r="O226" s="230"/>
      <c r="P226" s="66"/>
      <c r="Q226" s="171">
        <f>ROUNDUP(P227,-3)</f>
        <v>24000</v>
      </c>
      <c r="R226" s="171">
        <v>0</v>
      </c>
      <c r="S226" s="171">
        <f>Q226-R226</f>
        <v>24000</v>
      </c>
      <c r="T226" s="172">
        <v>1</v>
      </c>
    </row>
    <row r="227" spans="1:20" ht="15" customHeight="1">
      <c r="A227" s="224"/>
      <c r="B227" s="225"/>
      <c r="C227" s="222"/>
      <c r="D227" s="222"/>
      <c r="E227" s="427"/>
      <c r="F227" s="240" t="s">
        <v>1640</v>
      </c>
      <c r="G227" s="249"/>
      <c r="H227" s="240"/>
      <c r="I227" s="240"/>
      <c r="J227" s="240"/>
      <c r="K227" s="240"/>
      <c r="L227" s="240"/>
      <c r="M227" s="240"/>
      <c r="N227" s="244"/>
      <c r="O227" s="251"/>
      <c r="P227" s="251">
        <f>P228</f>
        <v>24000</v>
      </c>
      <c r="Q227" s="428"/>
      <c r="R227" s="428"/>
      <c r="S227" s="428"/>
      <c r="T227" s="429"/>
    </row>
    <row r="228" spans="1:20" ht="15" customHeight="1" thickBot="1">
      <c r="A228" s="425"/>
      <c r="B228" s="426"/>
      <c r="C228" s="430"/>
      <c r="D228" s="430"/>
      <c r="E228" s="431"/>
      <c r="F228" s="432" t="s">
        <v>928</v>
      </c>
      <c r="G228" s="433">
        <v>24000</v>
      </c>
      <c r="H228" s="434" t="s">
        <v>924</v>
      </c>
      <c r="I228" s="435">
        <v>1</v>
      </c>
      <c r="J228" s="434"/>
      <c r="K228" s="436"/>
      <c r="L228" s="434"/>
      <c r="M228" s="434"/>
      <c r="N228" s="437"/>
      <c r="O228" s="437" t="s">
        <v>925</v>
      </c>
      <c r="P228" s="438">
        <f>G228*I228</f>
        <v>24000</v>
      </c>
      <c r="Q228" s="439"/>
      <c r="R228" s="439"/>
      <c r="S228" s="439"/>
      <c r="T228" s="440"/>
    </row>
    <row r="229" spans="1:20" ht="15" customHeight="1">
      <c r="B229" s="196"/>
      <c r="C229" s="196"/>
      <c r="D229" s="196"/>
      <c r="E229" s="196"/>
      <c r="F229" s="240"/>
      <c r="G229" s="240"/>
      <c r="H229" s="240"/>
      <c r="I229" s="240"/>
      <c r="J229" s="240"/>
      <c r="K229" s="240"/>
      <c r="L229" s="240"/>
      <c r="M229" s="240"/>
      <c r="N229" s="240"/>
      <c r="O229" s="240"/>
      <c r="P229" s="240"/>
      <c r="Q229" s="240"/>
      <c r="R229" s="196"/>
      <c r="S229" s="196"/>
      <c r="T229" s="196"/>
    </row>
    <row r="230" spans="1:20" ht="15" customHeight="1">
      <c r="B230" s="196"/>
      <c r="C230" s="196"/>
      <c r="D230" s="196"/>
      <c r="E230" s="196"/>
      <c r="F230" s="240"/>
      <c r="G230" s="240"/>
      <c r="H230" s="240"/>
      <c r="I230" s="240"/>
      <c r="J230" s="240"/>
      <c r="K230" s="240"/>
      <c r="L230" s="240"/>
      <c r="M230" s="240"/>
      <c r="N230" s="240"/>
      <c r="O230" s="240"/>
      <c r="P230" s="240"/>
      <c r="Q230" s="240"/>
      <c r="R230" s="196"/>
      <c r="S230" s="196"/>
      <c r="T230" s="196"/>
    </row>
    <row r="231" spans="1:20" ht="15" customHeight="1">
      <c r="B231" s="196"/>
      <c r="C231" s="196"/>
      <c r="D231" s="196"/>
      <c r="E231" s="196"/>
      <c r="F231" s="196"/>
      <c r="G231" s="196"/>
      <c r="L231" s="196"/>
      <c r="N231" s="196"/>
      <c r="O231" s="196"/>
      <c r="Q231" s="196"/>
      <c r="R231" s="196"/>
      <c r="S231" s="196"/>
      <c r="T231" s="196"/>
    </row>
    <row r="232" spans="1:20" ht="15" customHeight="1">
      <c r="B232" s="196"/>
      <c r="C232" s="196"/>
      <c r="D232" s="196"/>
      <c r="E232" s="196"/>
      <c r="F232" s="196"/>
      <c r="G232" s="196"/>
      <c r="L232" s="196"/>
      <c r="N232" s="196"/>
      <c r="O232" s="196"/>
      <c r="Q232" s="196"/>
      <c r="R232" s="196"/>
      <c r="S232" s="196"/>
      <c r="T232" s="196"/>
    </row>
    <row r="233" spans="1:20" ht="15" customHeight="1">
      <c r="B233" s="196"/>
      <c r="C233" s="196"/>
      <c r="D233" s="196"/>
      <c r="E233" s="196"/>
      <c r="F233" s="196"/>
      <c r="G233" s="196"/>
      <c r="L233" s="196"/>
      <c r="N233" s="196"/>
      <c r="O233" s="196"/>
      <c r="Q233" s="196"/>
      <c r="R233" s="196"/>
      <c r="S233" s="196"/>
      <c r="T233" s="196"/>
    </row>
    <row r="234" spans="1:20" ht="15" customHeight="1">
      <c r="B234" s="196"/>
      <c r="C234" s="196"/>
      <c r="D234" s="196"/>
      <c r="E234" s="196"/>
      <c r="F234" s="196"/>
      <c r="G234" s="196"/>
      <c r="L234" s="196"/>
      <c r="N234" s="196"/>
      <c r="O234" s="196"/>
      <c r="Q234" s="196"/>
      <c r="R234" s="196"/>
      <c r="S234" s="196"/>
      <c r="T234" s="196"/>
    </row>
    <row r="235" spans="1:20" ht="15" customHeight="1">
      <c r="B235" s="196"/>
      <c r="C235" s="196"/>
      <c r="D235" s="196"/>
      <c r="E235" s="196"/>
      <c r="F235" s="196"/>
      <c r="G235" s="196"/>
      <c r="L235" s="196"/>
      <c r="N235" s="196"/>
      <c r="O235" s="196"/>
      <c r="Q235" s="196"/>
      <c r="R235" s="196"/>
      <c r="S235" s="196"/>
      <c r="T235" s="196"/>
    </row>
    <row r="236" spans="1:20" ht="15" customHeight="1">
      <c r="B236" s="196"/>
      <c r="C236" s="196"/>
      <c r="D236" s="196"/>
      <c r="E236" s="196"/>
      <c r="F236" s="196"/>
      <c r="G236" s="196"/>
      <c r="L236" s="196"/>
      <c r="N236" s="196"/>
      <c r="O236" s="196"/>
      <c r="Q236" s="196"/>
      <c r="R236" s="196"/>
      <c r="S236" s="196"/>
      <c r="T236" s="196"/>
    </row>
    <row r="237" spans="1:20" ht="15" customHeight="1">
      <c r="B237" s="196"/>
      <c r="C237" s="196"/>
      <c r="D237" s="196"/>
      <c r="E237" s="196"/>
      <c r="F237" s="196"/>
      <c r="G237" s="196"/>
      <c r="L237" s="196"/>
      <c r="N237" s="196"/>
      <c r="O237" s="196"/>
      <c r="Q237" s="196"/>
      <c r="R237" s="196"/>
      <c r="S237" s="196"/>
      <c r="T237" s="196"/>
    </row>
    <row r="238" spans="1:20" ht="15" customHeight="1">
      <c r="B238" s="196"/>
      <c r="C238" s="196"/>
      <c r="D238" s="196"/>
      <c r="E238" s="196"/>
      <c r="F238" s="196"/>
      <c r="G238" s="196"/>
      <c r="L238" s="196"/>
      <c r="N238" s="196"/>
      <c r="O238" s="196"/>
      <c r="Q238" s="196"/>
      <c r="R238" s="196"/>
      <c r="S238" s="196"/>
      <c r="T238" s="196"/>
    </row>
    <row r="239" spans="1:20" ht="15" customHeight="1">
      <c r="B239" s="196"/>
      <c r="C239" s="196"/>
      <c r="D239" s="196"/>
      <c r="E239" s="196"/>
      <c r="F239" s="196"/>
      <c r="G239" s="196"/>
      <c r="L239" s="196"/>
      <c r="N239" s="196"/>
      <c r="O239" s="196"/>
      <c r="Q239" s="196"/>
      <c r="R239" s="196"/>
      <c r="S239" s="196"/>
      <c r="T239" s="196"/>
    </row>
    <row r="240" spans="1:20" ht="15" customHeight="1">
      <c r="B240" s="196"/>
      <c r="C240" s="196"/>
      <c r="D240" s="196"/>
      <c r="E240" s="196"/>
      <c r="F240" s="196"/>
      <c r="G240" s="196"/>
      <c r="L240" s="196"/>
      <c r="N240" s="196"/>
      <c r="O240" s="196"/>
      <c r="Q240" s="196"/>
      <c r="R240" s="196"/>
      <c r="S240" s="196"/>
      <c r="T240" s="196"/>
    </row>
    <row r="241" spans="2:20" ht="15" customHeight="1">
      <c r="B241" s="196"/>
      <c r="C241" s="196"/>
      <c r="D241" s="196"/>
      <c r="E241" s="196"/>
      <c r="F241" s="196"/>
      <c r="G241" s="196"/>
      <c r="L241" s="196"/>
      <c r="N241" s="196"/>
      <c r="O241" s="196"/>
      <c r="Q241" s="196"/>
      <c r="R241" s="196"/>
      <c r="S241" s="196"/>
      <c r="T241" s="196"/>
    </row>
    <row r="242" spans="2:20" ht="15" customHeight="1">
      <c r="B242" s="196"/>
      <c r="C242" s="196"/>
      <c r="D242" s="196"/>
      <c r="E242" s="196"/>
      <c r="F242" s="196"/>
      <c r="G242" s="196"/>
      <c r="L242" s="196"/>
      <c r="N242" s="196"/>
      <c r="O242" s="196"/>
      <c r="Q242" s="196"/>
      <c r="R242" s="196"/>
      <c r="S242" s="196"/>
      <c r="T242" s="196"/>
    </row>
    <row r="243" spans="2:20" ht="15" customHeight="1">
      <c r="B243" s="196"/>
      <c r="C243" s="196"/>
      <c r="D243" s="196"/>
      <c r="E243" s="196"/>
      <c r="F243" s="196"/>
      <c r="G243" s="196"/>
      <c r="L243" s="196"/>
      <c r="N243" s="196"/>
      <c r="O243" s="196"/>
      <c r="Q243" s="196"/>
      <c r="R243" s="196"/>
      <c r="S243" s="196"/>
      <c r="T243" s="196"/>
    </row>
    <row r="244" spans="2:20" ht="15" customHeight="1">
      <c r="B244" s="196"/>
      <c r="C244" s="196"/>
      <c r="D244" s="196"/>
      <c r="E244" s="196"/>
      <c r="F244" s="196"/>
      <c r="G244" s="196"/>
      <c r="L244" s="196"/>
      <c r="N244" s="196"/>
      <c r="O244" s="196"/>
      <c r="Q244" s="196"/>
      <c r="R244" s="196"/>
      <c r="S244" s="196"/>
      <c r="T244" s="196"/>
    </row>
    <row r="245" spans="2:20" ht="15" customHeight="1">
      <c r="B245" s="196"/>
      <c r="C245" s="196"/>
      <c r="D245" s="196"/>
      <c r="E245" s="196"/>
      <c r="F245" s="196"/>
      <c r="G245" s="196"/>
      <c r="L245" s="196"/>
      <c r="N245" s="196"/>
      <c r="O245" s="196"/>
      <c r="Q245" s="196"/>
      <c r="R245" s="196"/>
      <c r="S245" s="196"/>
      <c r="T245" s="196"/>
    </row>
    <row r="246" spans="2:20" ht="15" customHeight="1">
      <c r="B246" s="196"/>
      <c r="C246" s="196"/>
      <c r="D246" s="196"/>
      <c r="E246" s="196"/>
      <c r="F246" s="196"/>
      <c r="G246" s="196"/>
      <c r="L246" s="196"/>
      <c r="N246" s="196"/>
      <c r="O246" s="196"/>
      <c r="Q246" s="196"/>
      <c r="R246" s="196"/>
      <c r="S246" s="196"/>
      <c r="T246" s="196"/>
    </row>
    <row r="247" spans="2:20" ht="15" customHeight="1">
      <c r="B247" s="196"/>
      <c r="C247" s="196"/>
      <c r="D247" s="196"/>
      <c r="E247" s="196"/>
      <c r="F247" s="196"/>
      <c r="G247" s="196"/>
      <c r="L247" s="196"/>
      <c r="N247" s="196"/>
      <c r="O247" s="196"/>
      <c r="Q247" s="196"/>
      <c r="R247" s="196"/>
      <c r="S247" s="196"/>
      <c r="T247" s="196"/>
    </row>
    <row r="248" spans="2:20" ht="15" customHeight="1">
      <c r="B248" s="196"/>
      <c r="C248" s="196"/>
      <c r="D248" s="196"/>
      <c r="E248" s="196"/>
      <c r="F248" s="196"/>
      <c r="G248" s="196"/>
      <c r="L248" s="196"/>
      <c r="N248" s="196"/>
      <c r="O248" s="196"/>
      <c r="Q248" s="196"/>
      <c r="R248" s="196"/>
      <c r="S248" s="196"/>
      <c r="T248" s="196"/>
    </row>
    <row r="249" spans="2:20" ht="15" customHeight="1">
      <c r="B249" s="196"/>
      <c r="C249" s="196"/>
      <c r="D249" s="196"/>
      <c r="E249" s="196"/>
      <c r="F249" s="196"/>
      <c r="G249" s="196"/>
      <c r="L249" s="196"/>
      <c r="N249" s="196"/>
      <c r="O249" s="196"/>
      <c r="Q249" s="196"/>
      <c r="R249" s="196"/>
      <c r="S249" s="196"/>
      <c r="T249" s="196"/>
    </row>
    <row r="250" spans="2:20" ht="15" customHeight="1">
      <c r="B250" s="196"/>
      <c r="C250" s="196"/>
      <c r="D250" s="196"/>
      <c r="E250" s="196"/>
      <c r="F250" s="196"/>
      <c r="G250" s="196"/>
      <c r="L250" s="196"/>
      <c r="N250" s="196"/>
      <c r="O250" s="196"/>
      <c r="Q250" s="196"/>
      <c r="R250" s="196"/>
      <c r="S250" s="196"/>
      <c r="T250" s="196"/>
    </row>
    <row r="251" spans="2:20" ht="15" customHeight="1">
      <c r="B251" s="196"/>
      <c r="C251" s="196"/>
      <c r="D251" s="196"/>
      <c r="E251" s="196"/>
      <c r="F251" s="196"/>
      <c r="G251" s="196"/>
      <c r="L251" s="196"/>
      <c r="N251" s="196"/>
      <c r="O251" s="196"/>
      <c r="Q251" s="196"/>
      <c r="R251" s="196"/>
      <c r="S251" s="196"/>
      <c r="T251" s="196"/>
    </row>
    <row r="252" spans="2:20" ht="15" customHeight="1">
      <c r="B252" s="196"/>
      <c r="C252" s="196"/>
      <c r="D252" s="196"/>
      <c r="E252" s="196"/>
      <c r="F252" s="196"/>
      <c r="G252" s="196"/>
      <c r="L252" s="196"/>
      <c r="N252" s="196"/>
      <c r="O252" s="196"/>
      <c r="Q252" s="196"/>
      <c r="R252" s="196"/>
      <c r="S252" s="196"/>
      <c r="T252" s="196"/>
    </row>
    <row r="253" spans="2:20" ht="15" customHeight="1"/>
    <row r="254" spans="2:20" ht="15" customHeight="1"/>
    <row r="255" spans="2:20" ht="15" customHeight="1"/>
    <row r="256" spans="2:20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</sheetData>
  <mergeCells count="20">
    <mergeCell ref="A1:T1"/>
    <mergeCell ref="S2:T2"/>
    <mergeCell ref="G3:P4"/>
    <mergeCell ref="A3:E3"/>
    <mergeCell ref="Q3:Q4"/>
    <mergeCell ref="R3:R4"/>
    <mergeCell ref="S3:S4"/>
    <mergeCell ref="T3:T4"/>
    <mergeCell ref="I189:J189"/>
    <mergeCell ref="I86:J86"/>
    <mergeCell ref="I87:J87"/>
    <mergeCell ref="I88:J88"/>
    <mergeCell ref="I89:J89"/>
    <mergeCell ref="I90:J90"/>
    <mergeCell ref="I188:J188"/>
    <mergeCell ref="I82:J82"/>
    <mergeCell ref="I183:J183"/>
    <mergeCell ref="I185:J185"/>
    <mergeCell ref="I186:J186"/>
    <mergeCell ref="I187:J187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scale="76" firstPageNumber="94" fitToHeight="0" orientation="landscape" useFirstPageNumber="1" r:id="rId1"/>
  <headerFooter scaleWithDoc="0" alignWithMargins="0">
    <oddFooter>&amp;C&amp;P</oddFooter>
  </headerFooter>
  <rowBreaks count="6" manualBreakCount="6">
    <brk id="37" max="19" man="1"/>
    <brk id="74" max="19" man="1"/>
    <brk id="107" max="19" man="1"/>
    <brk id="143" max="19" man="1"/>
    <brk id="179" max="19" man="1"/>
    <brk id="214" max="19" man="1"/>
  </rowBreaks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3399FF"/>
    <pageSetUpPr fitToPage="1"/>
  </sheetPr>
  <dimension ref="A1:X149"/>
  <sheetViews>
    <sheetView view="pageBreakPreview" zoomScaleNormal="85" zoomScaleSheetLayoutView="100" workbookViewId="0">
      <pane ySplit="8" topLeftCell="A24" activePane="bottomLeft" state="frozen"/>
      <selection activeCell="V20" sqref="V20"/>
      <selection pane="bottomLeft" activeCell="V20" sqref="V20"/>
    </sheetView>
  </sheetViews>
  <sheetFormatPr defaultColWidth="9" defaultRowHeight="13.5"/>
  <cols>
    <col min="1" max="1" width="3.625" style="196" customWidth="1"/>
    <col min="2" max="4" width="3.625" style="193" customWidth="1"/>
    <col min="5" max="5" width="10.625" style="193" customWidth="1"/>
    <col min="6" max="6" width="33.625" style="194" customWidth="1"/>
    <col min="7" max="7" width="12.5" style="195" bestFit="1" customWidth="1"/>
    <col min="8" max="8" width="2.125" style="196" customWidth="1"/>
    <col min="9" max="9" width="4.875" style="196" customWidth="1"/>
    <col min="10" max="10" width="2.125" style="196" customWidth="1"/>
    <col min="11" max="11" width="5.75" style="196" customWidth="1"/>
    <col min="12" max="12" width="2.75" style="198" customWidth="1"/>
    <col min="13" max="13" width="2.625" style="198" customWidth="1"/>
    <col min="14" max="14" width="13.625" style="196" customWidth="1"/>
    <col min="15" max="15" width="10.625" style="199" customWidth="1"/>
    <col min="16" max="17" width="10.625" style="200" customWidth="1"/>
    <col min="18" max="18" width="10.625" style="289" customWidth="1"/>
    <col min="19" max="19" width="10.25" style="196" bestFit="1" customWidth="1"/>
    <col min="20" max="20" width="10.25" style="196" customWidth="1"/>
    <col min="21" max="21" width="15.25" style="196" bestFit="1" customWidth="1"/>
    <col min="22" max="22" width="12.875" style="196" bestFit="1" customWidth="1"/>
    <col min="23" max="16384" width="9" style="196"/>
  </cols>
  <sheetData>
    <row r="1" spans="1:24" s="192" customFormat="1" ht="35.1" customHeight="1">
      <c r="A1" s="1968" t="s">
        <v>495</v>
      </c>
      <c r="B1" s="1968"/>
      <c r="C1" s="1968"/>
      <c r="D1" s="1968"/>
      <c r="E1" s="1968"/>
      <c r="F1" s="1968"/>
      <c r="G1" s="1968"/>
      <c r="H1" s="1968"/>
      <c r="I1" s="1968"/>
      <c r="J1" s="1968"/>
      <c r="K1" s="1968"/>
      <c r="L1" s="1968"/>
      <c r="M1" s="1968"/>
      <c r="N1" s="1968"/>
      <c r="O1" s="1968"/>
      <c r="P1" s="1968"/>
      <c r="Q1" s="1968"/>
      <c r="R1" s="1968"/>
    </row>
    <row r="2" spans="1:24" ht="15" customHeight="1" thickBot="1">
      <c r="A2" s="192" t="s">
        <v>473</v>
      </c>
      <c r="Q2" s="1969" t="s">
        <v>1503</v>
      </c>
      <c r="R2" s="1969"/>
    </row>
    <row r="3" spans="1:24" s="201" customFormat="1" ht="14.45" customHeight="1">
      <c r="A3" s="1990" t="s">
        <v>91</v>
      </c>
      <c r="B3" s="1939"/>
      <c r="C3" s="1939"/>
      <c r="D3" s="1939"/>
      <c r="E3" s="1939"/>
      <c r="F3" s="1753"/>
      <c r="G3" s="1972" t="s">
        <v>476</v>
      </c>
      <c r="H3" s="1972"/>
      <c r="I3" s="1972"/>
      <c r="J3" s="1972"/>
      <c r="K3" s="1972"/>
      <c r="L3" s="1972"/>
      <c r="M3" s="1972"/>
      <c r="N3" s="1973"/>
      <c r="O3" s="1976" t="s">
        <v>496</v>
      </c>
      <c r="P3" s="1978" t="s">
        <v>1504</v>
      </c>
      <c r="Q3" s="1980" t="s">
        <v>1505</v>
      </c>
      <c r="R3" s="1982" t="s">
        <v>477</v>
      </c>
    </row>
    <row r="4" spans="1:24" s="201" customFormat="1" ht="14.45" customHeight="1" thickBot="1">
      <c r="A4" s="1742" t="s">
        <v>97</v>
      </c>
      <c r="B4" s="1743" t="s">
        <v>98</v>
      </c>
      <c r="C4" s="1743" t="s">
        <v>99</v>
      </c>
      <c r="D4" s="1743" t="s">
        <v>100</v>
      </c>
      <c r="E4" s="1743" t="s">
        <v>101</v>
      </c>
      <c r="F4" s="1754" t="s">
        <v>102</v>
      </c>
      <c r="G4" s="1974"/>
      <c r="H4" s="1974"/>
      <c r="I4" s="1974"/>
      <c r="J4" s="1974"/>
      <c r="K4" s="1974"/>
      <c r="L4" s="1974"/>
      <c r="M4" s="1974"/>
      <c r="N4" s="1975"/>
      <c r="O4" s="1977"/>
      <c r="P4" s="1979"/>
      <c r="Q4" s="1981"/>
      <c r="R4" s="1983"/>
    </row>
    <row r="5" spans="1:24" s="192" customFormat="1" ht="14.45" customHeight="1" thickBot="1">
      <c r="A5" s="68" t="s">
        <v>1506</v>
      </c>
      <c r="B5" s="69"/>
      <c r="C5" s="69"/>
      <c r="D5" s="69"/>
      <c r="E5" s="69"/>
      <c r="F5" s="70"/>
      <c r="G5" s="71"/>
      <c r="H5" s="72"/>
      <c r="I5" s="72"/>
      <c r="J5" s="72"/>
      <c r="K5" s="72"/>
      <c r="L5" s="74"/>
      <c r="M5" s="74"/>
      <c r="N5" s="72"/>
      <c r="O5" s="75">
        <f>O6</f>
        <v>155514000</v>
      </c>
      <c r="P5" s="75">
        <f>P6</f>
        <v>114345000</v>
      </c>
      <c r="Q5" s="75">
        <f>O5-P5</f>
        <v>41169000</v>
      </c>
      <c r="R5" s="203">
        <f t="shared" ref="R5:R8" si="0">Q5/P5</f>
        <v>0.36004197822379641</v>
      </c>
      <c r="S5" s="196"/>
      <c r="T5" s="192">
        <v>155514000</v>
      </c>
      <c r="U5" s="989">
        <f>O5-T5</f>
        <v>0</v>
      </c>
    </row>
    <row r="6" spans="1:24" s="192" customFormat="1" ht="14.45" customHeight="1">
      <c r="A6" s="204"/>
      <c r="B6" s="205" t="s">
        <v>1507</v>
      </c>
      <c r="C6" s="206"/>
      <c r="D6" s="206"/>
      <c r="E6" s="206"/>
      <c r="F6" s="207"/>
      <c r="G6" s="208"/>
      <c r="H6" s="209"/>
      <c r="I6" s="209"/>
      <c r="J6" s="209"/>
      <c r="K6" s="209"/>
      <c r="L6" s="210"/>
      <c r="M6" s="210"/>
      <c r="N6" s="209"/>
      <c r="O6" s="211">
        <f>SUM(O7,O59,O137,O117)</f>
        <v>155514000</v>
      </c>
      <c r="P6" s="211">
        <f>SUM(P7,P59,P137,P117)</f>
        <v>114345000</v>
      </c>
      <c r="Q6" s="211">
        <f>O6-P6</f>
        <v>41169000</v>
      </c>
      <c r="R6" s="212">
        <f t="shared" si="0"/>
        <v>0.36004197822379641</v>
      </c>
    </row>
    <row r="7" spans="1:24" s="192" customFormat="1" ht="14.45" customHeight="1">
      <c r="A7" s="204"/>
      <c r="B7" s="213"/>
      <c r="C7" s="214" t="s">
        <v>1508</v>
      </c>
      <c r="D7" s="214"/>
      <c r="E7" s="214"/>
      <c r="F7" s="215"/>
      <c r="G7" s="216"/>
      <c r="H7" s="217"/>
      <c r="I7" s="217"/>
      <c r="J7" s="217"/>
      <c r="K7" s="217"/>
      <c r="L7" s="219"/>
      <c r="M7" s="219"/>
      <c r="N7" s="217"/>
      <c r="O7" s="220">
        <f>SUM(O8,O31)</f>
        <v>86247000</v>
      </c>
      <c r="P7" s="220">
        <f>SUM(P8,P31)</f>
        <v>56840000</v>
      </c>
      <c r="Q7" s="220">
        <f>O7-P7</f>
        <v>29407000</v>
      </c>
      <c r="R7" s="221">
        <f t="shared" si="0"/>
        <v>0.51736453201970445</v>
      </c>
    </row>
    <row r="8" spans="1:24" s="192" customFormat="1" ht="14.45" customHeight="1">
      <c r="A8" s="204"/>
      <c r="B8" s="222"/>
      <c r="C8" s="223"/>
      <c r="D8" s="83" t="s">
        <v>500</v>
      </c>
      <c r="E8" s="84"/>
      <c r="F8" s="85"/>
      <c r="G8" s="86"/>
      <c r="H8" s="84"/>
      <c r="I8" s="84"/>
      <c r="J8" s="84"/>
      <c r="K8" s="84"/>
      <c r="L8" s="87"/>
      <c r="M8" s="87"/>
      <c r="N8" s="84"/>
      <c r="O8" s="76">
        <f>O9+O15+O28</f>
        <v>63200000</v>
      </c>
      <c r="P8" s="76">
        <f>P9+P15+P28</f>
        <v>42000000</v>
      </c>
      <c r="Q8" s="76">
        <f>O8-P8</f>
        <v>21200000</v>
      </c>
      <c r="R8" s="77">
        <f t="shared" si="0"/>
        <v>0.50476190476190474</v>
      </c>
    </row>
    <row r="9" spans="1:24" ht="14.45" customHeight="1">
      <c r="A9" s="224"/>
      <c r="B9" s="225"/>
      <c r="C9" s="226"/>
      <c r="D9" s="225"/>
      <c r="E9" s="66" t="s">
        <v>1509</v>
      </c>
      <c r="F9" s="227"/>
      <c r="G9" s="228"/>
      <c r="H9" s="66"/>
      <c r="I9" s="66"/>
      <c r="J9" s="66"/>
      <c r="K9" s="66"/>
      <c r="L9" s="230"/>
      <c r="M9" s="230"/>
      <c r="N9" s="66"/>
      <c r="O9" s="171">
        <f>N10</f>
        <v>50400000</v>
      </c>
      <c r="P9" s="171">
        <v>34800000</v>
      </c>
      <c r="Q9" s="171">
        <f>O9-P9</f>
        <v>15600000</v>
      </c>
      <c r="R9" s="172">
        <f>Q9/P9</f>
        <v>0.44827586206896552</v>
      </c>
    </row>
    <row r="10" spans="1:24" ht="14.45" customHeight="1">
      <c r="A10" s="224"/>
      <c r="B10" s="225"/>
      <c r="C10" s="226"/>
      <c r="D10" s="225"/>
      <c r="E10" s="226"/>
      <c r="F10" s="231" t="s">
        <v>1510</v>
      </c>
      <c r="G10" s="232"/>
      <c r="H10" s="226"/>
      <c r="I10" s="226"/>
      <c r="J10" s="226"/>
      <c r="K10" s="226"/>
      <c r="L10" s="233"/>
      <c r="M10" s="233"/>
      <c r="N10" s="234">
        <f>SUM(N11:N14)</f>
        <v>50400000</v>
      </c>
      <c r="O10" s="101"/>
      <c r="P10" s="235"/>
      <c r="Q10" s="101"/>
      <c r="R10" s="102"/>
    </row>
    <row r="11" spans="1:24" ht="14.45" customHeight="1">
      <c r="A11" s="224"/>
      <c r="B11" s="225"/>
      <c r="C11" s="226"/>
      <c r="D11" s="225"/>
      <c r="E11" s="237"/>
      <c r="F11" s="238" t="s">
        <v>1511</v>
      </c>
      <c r="G11" s="239">
        <v>1800000</v>
      </c>
      <c r="H11" s="240" t="s">
        <v>273</v>
      </c>
      <c r="I11" s="241">
        <v>1</v>
      </c>
      <c r="J11" s="240" t="s">
        <v>109</v>
      </c>
      <c r="K11" s="242">
        <v>12</v>
      </c>
      <c r="L11" s="244"/>
      <c r="M11" s="244" t="s">
        <v>274</v>
      </c>
      <c r="N11" s="245">
        <f>ROUNDUP(G11*I11*K11,-3)</f>
        <v>21600000</v>
      </c>
      <c r="O11" s="235"/>
      <c r="P11" s="235"/>
      <c r="Q11" s="235"/>
      <c r="R11" s="246"/>
      <c r="T11" s="196" t="s">
        <v>2336</v>
      </c>
      <c r="U11" s="236">
        <f>O8</f>
        <v>63200000</v>
      </c>
      <c r="V11" s="236">
        <f>P8</f>
        <v>42000000</v>
      </c>
    </row>
    <row r="12" spans="1:24" ht="14.45" customHeight="1">
      <c r="A12" s="224"/>
      <c r="B12" s="225"/>
      <c r="C12" s="226"/>
      <c r="D12" s="225"/>
      <c r="E12" s="247"/>
      <c r="F12" s="248" t="s">
        <v>1512</v>
      </c>
      <c r="G12" s="239">
        <v>1200000</v>
      </c>
      <c r="H12" s="240" t="s">
        <v>1513</v>
      </c>
      <c r="I12" s="241">
        <v>1</v>
      </c>
      <c r="J12" s="240" t="s">
        <v>109</v>
      </c>
      <c r="K12" s="242">
        <v>12</v>
      </c>
      <c r="L12" s="244"/>
      <c r="M12" s="244" t="s">
        <v>283</v>
      </c>
      <c r="N12" s="245">
        <f>ROUNDUP(G12*I12*K12,-3)</f>
        <v>14400000</v>
      </c>
      <c r="O12" s="235"/>
      <c r="P12" s="235"/>
      <c r="Q12" s="235"/>
      <c r="R12" s="246"/>
      <c r="T12" s="196" t="s">
        <v>2343</v>
      </c>
      <c r="U12" s="236">
        <f>O31</f>
        <v>23047000</v>
      </c>
      <c r="V12" s="236">
        <f>P31</f>
        <v>14840000</v>
      </c>
    </row>
    <row r="13" spans="1:24" ht="14.45" customHeight="1">
      <c r="A13" s="224"/>
      <c r="B13" s="225"/>
      <c r="C13" s="226"/>
      <c r="D13" s="225"/>
      <c r="E13" s="247"/>
      <c r="F13" s="248" t="s">
        <v>1514</v>
      </c>
      <c r="G13" s="239">
        <v>600000</v>
      </c>
      <c r="H13" s="240" t="s">
        <v>273</v>
      </c>
      <c r="I13" s="241">
        <v>1</v>
      </c>
      <c r="J13" s="240" t="s">
        <v>109</v>
      </c>
      <c r="K13" s="242">
        <v>12</v>
      </c>
      <c r="L13" s="244"/>
      <c r="M13" s="244" t="s">
        <v>274</v>
      </c>
      <c r="N13" s="245">
        <f>ROUNDUP(G13*I13*K13,-3)</f>
        <v>7200000</v>
      </c>
      <c r="O13" s="235"/>
      <c r="P13" s="235"/>
      <c r="Q13" s="235"/>
      <c r="R13" s="246"/>
      <c r="T13" s="196" t="s">
        <v>2342</v>
      </c>
      <c r="U13" s="236">
        <f>O60</f>
        <v>32226000</v>
      </c>
      <c r="V13" s="236">
        <f>P60</f>
        <v>23485000</v>
      </c>
    </row>
    <row r="14" spans="1:24" ht="14.45" customHeight="1">
      <c r="A14" s="224"/>
      <c r="B14" s="225"/>
      <c r="C14" s="226"/>
      <c r="D14" s="225"/>
      <c r="E14" s="247"/>
      <c r="F14" s="248" t="s">
        <v>1515</v>
      </c>
      <c r="G14" s="239">
        <v>600000</v>
      </c>
      <c r="H14" s="240" t="s">
        <v>273</v>
      </c>
      <c r="I14" s="241">
        <v>1</v>
      </c>
      <c r="J14" s="240" t="s">
        <v>109</v>
      </c>
      <c r="K14" s="242">
        <v>12</v>
      </c>
      <c r="L14" s="244"/>
      <c r="M14" s="244" t="s">
        <v>283</v>
      </c>
      <c r="N14" s="245">
        <f>ROUNDUP(G14*I14*K14,-3)</f>
        <v>7200000</v>
      </c>
      <c r="O14" s="235"/>
      <c r="P14" s="235"/>
      <c r="Q14" s="235"/>
      <c r="R14" s="246"/>
      <c r="U14" s="236">
        <f>SUM(U11:U13)</f>
        <v>118473000</v>
      </c>
      <c r="V14" s="236">
        <f>SUM(V11:V13)</f>
        <v>80325000</v>
      </c>
    </row>
    <row r="15" spans="1:24" ht="14.45" customHeight="1">
      <c r="A15" s="224"/>
      <c r="B15" s="225"/>
      <c r="C15" s="226"/>
      <c r="D15" s="225"/>
      <c r="E15" s="66" t="s">
        <v>640</v>
      </c>
      <c r="F15" s="227"/>
      <c r="G15" s="228"/>
      <c r="H15" s="66"/>
      <c r="I15" s="66"/>
      <c r="J15" s="66"/>
      <c r="K15" s="66"/>
      <c r="L15" s="230"/>
      <c r="M15" s="230"/>
      <c r="N15" s="66"/>
      <c r="O15" s="171">
        <f>N16+N19+N21+N24</f>
        <v>11000000</v>
      </c>
      <c r="P15" s="171">
        <v>6000000</v>
      </c>
      <c r="Q15" s="171">
        <f>O15-P15</f>
        <v>5000000</v>
      </c>
      <c r="R15" s="172">
        <f>Q15/P15</f>
        <v>0.83333333333333337</v>
      </c>
      <c r="W15" s="236"/>
      <c r="X15" s="236"/>
    </row>
    <row r="16" spans="1:24" ht="14.45" customHeight="1">
      <c r="A16" s="224"/>
      <c r="B16" s="225"/>
      <c r="C16" s="226"/>
      <c r="D16" s="225"/>
      <c r="E16" s="237"/>
      <c r="F16" s="231" t="s">
        <v>508</v>
      </c>
      <c r="G16" s="249"/>
      <c r="H16" s="240"/>
      <c r="I16" s="240"/>
      <c r="J16" s="240"/>
      <c r="K16" s="240"/>
      <c r="L16" s="244"/>
      <c r="M16" s="244"/>
      <c r="N16" s="251">
        <f>SUM(N17:N18)</f>
        <v>6000000</v>
      </c>
      <c r="O16" s="235"/>
      <c r="P16" s="235"/>
      <c r="Q16" s="235"/>
      <c r="R16" s="246"/>
    </row>
    <row r="17" spans="1:21" ht="14.45" customHeight="1">
      <c r="A17" s="224"/>
      <c r="B17" s="225"/>
      <c r="C17" s="226"/>
      <c r="D17" s="225"/>
      <c r="E17" s="247"/>
      <c r="F17" s="238" t="s">
        <v>1516</v>
      </c>
      <c r="G17" s="252">
        <v>150000</v>
      </c>
      <c r="H17" s="240" t="s">
        <v>1513</v>
      </c>
      <c r="I17" s="241">
        <v>2</v>
      </c>
      <c r="J17" s="240" t="s">
        <v>109</v>
      </c>
      <c r="K17" s="242">
        <v>12</v>
      </c>
      <c r="L17" s="244"/>
      <c r="M17" s="244" t="s">
        <v>274</v>
      </c>
      <c r="N17" s="245">
        <f>ROUNDUP(G17*I17*K17,-3)</f>
        <v>3600000</v>
      </c>
      <c r="O17" s="235"/>
      <c r="P17" s="235"/>
      <c r="Q17" s="235"/>
      <c r="R17" s="246"/>
    </row>
    <row r="18" spans="1:21" ht="14.45" customHeight="1">
      <c r="A18" s="224"/>
      <c r="B18" s="225"/>
      <c r="C18" s="226"/>
      <c r="D18" s="225"/>
      <c r="E18" s="247"/>
      <c r="F18" s="238" t="s">
        <v>1517</v>
      </c>
      <c r="G18" s="252">
        <v>100000</v>
      </c>
      <c r="H18" s="240" t="s">
        <v>273</v>
      </c>
      <c r="I18" s="241">
        <v>2</v>
      </c>
      <c r="J18" s="240" t="s">
        <v>109</v>
      </c>
      <c r="K18" s="242">
        <v>12</v>
      </c>
      <c r="L18" s="244"/>
      <c r="M18" s="244" t="s">
        <v>274</v>
      </c>
      <c r="N18" s="245">
        <f>ROUNDUP(G18*I18*K18,-3)</f>
        <v>2400000</v>
      </c>
      <c r="O18" s="235"/>
      <c r="P18" s="235"/>
      <c r="Q18" s="235"/>
      <c r="R18" s="246"/>
    </row>
    <row r="19" spans="1:21" ht="14.45" customHeight="1">
      <c r="A19" s="224"/>
      <c r="B19" s="225"/>
      <c r="C19" s="226"/>
      <c r="D19" s="225"/>
      <c r="E19" s="237"/>
      <c r="F19" s="231" t="s">
        <v>369</v>
      </c>
      <c r="G19" s="249"/>
      <c r="H19" s="240"/>
      <c r="I19" s="240"/>
      <c r="J19" s="240"/>
      <c r="K19" s="240"/>
      <c r="L19" s="244"/>
      <c r="M19" s="244"/>
      <c r="N19" s="251">
        <f>SUM(N20:N20)</f>
        <v>600000</v>
      </c>
      <c r="O19" s="235"/>
      <c r="P19" s="235"/>
      <c r="Q19" s="235"/>
      <c r="R19" s="246"/>
    </row>
    <row r="20" spans="1:21" ht="14.45" customHeight="1">
      <c r="A20" s="224"/>
      <c r="B20" s="225"/>
      <c r="C20" s="226"/>
      <c r="D20" s="225"/>
      <c r="E20" s="247"/>
      <c r="F20" s="238" t="s">
        <v>1518</v>
      </c>
      <c r="G20" s="252">
        <v>50000</v>
      </c>
      <c r="H20" s="240" t="s">
        <v>273</v>
      </c>
      <c r="I20" s="241">
        <v>1</v>
      </c>
      <c r="J20" s="240" t="s">
        <v>109</v>
      </c>
      <c r="K20" s="242">
        <v>12</v>
      </c>
      <c r="L20" s="244"/>
      <c r="M20" s="244" t="s">
        <v>283</v>
      </c>
      <c r="N20" s="245">
        <f>ROUNDUP(G20*I20*K20,-3)</f>
        <v>600000</v>
      </c>
      <c r="O20" s="235"/>
      <c r="P20" s="235"/>
      <c r="Q20" s="235"/>
      <c r="R20" s="246"/>
    </row>
    <row r="21" spans="1:21" ht="14.45" customHeight="1">
      <c r="A21" s="224"/>
      <c r="B21" s="225"/>
      <c r="C21" s="226"/>
      <c r="D21" s="225"/>
      <c r="E21" s="226"/>
      <c r="F21" s="231" t="s">
        <v>646</v>
      </c>
      <c r="G21" s="249"/>
      <c r="H21" s="240"/>
      <c r="I21" s="240"/>
      <c r="J21" s="240"/>
      <c r="K21" s="240"/>
      <c r="L21" s="244"/>
      <c r="M21" s="244"/>
      <c r="N21" s="251">
        <f>SUM(N23,N22)</f>
        <v>3000000</v>
      </c>
      <c r="O21" s="235"/>
      <c r="P21" s="235"/>
      <c r="Q21" s="235"/>
      <c r="R21" s="246"/>
      <c r="T21" s="236"/>
      <c r="U21" s="236"/>
    </row>
    <row r="22" spans="1:21" ht="14.45" customHeight="1">
      <c r="A22" s="224"/>
      <c r="B22" s="225"/>
      <c r="C22" s="226"/>
      <c r="D22" s="225"/>
      <c r="E22" s="237"/>
      <c r="F22" s="238" t="s">
        <v>1519</v>
      </c>
      <c r="G22" s="253">
        <v>150000</v>
      </c>
      <c r="H22" s="240" t="s">
        <v>277</v>
      </c>
      <c r="I22" s="241">
        <v>1</v>
      </c>
      <c r="J22" s="240" t="s">
        <v>109</v>
      </c>
      <c r="K22" s="242">
        <v>12</v>
      </c>
      <c r="L22" s="244"/>
      <c r="M22" s="244" t="s">
        <v>283</v>
      </c>
      <c r="N22" s="245">
        <f>ROUNDUP(G22*I22*K22,-3)</f>
        <v>1800000</v>
      </c>
      <c r="O22" s="235"/>
      <c r="P22" s="235"/>
      <c r="Q22" s="235"/>
      <c r="R22" s="246"/>
    </row>
    <row r="23" spans="1:21" ht="14.45" customHeight="1">
      <c r="A23" s="224"/>
      <c r="B23" s="225"/>
      <c r="C23" s="226"/>
      <c r="D23" s="225"/>
      <c r="E23" s="237"/>
      <c r="F23" s="238" t="s">
        <v>510</v>
      </c>
      <c r="G23" s="253">
        <v>100000</v>
      </c>
      <c r="H23" s="240" t="s">
        <v>277</v>
      </c>
      <c r="I23" s="241">
        <v>1</v>
      </c>
      <c r="J23" s="240" t="s">
        <v>109</v>
      </c>
      <c r="K23" s="242">
        <v>12</v>
      </c>
      <c r="L23" s="244"/>
      <c r="M23" s="244" t="s">
        <v>1520</v>
      </c>
      <c r="N23" s="245">
        <f>ROUNDUP(G23*I23*K23,-3)</f>
        <v>1200000</v>
      </c>
      <c r="O23" s="235"/>
      <c r="P23" s="235"/>
      <c r="Q23" s="235"/>
      <c r="R23" s="246"/>
    </row>
    <row r="24" spans="1:21" ht="14.45" customHeight="1">
      <c r="A24" s="224"/>
      <c r="B24" s="225"/>
      <c r="C24" s="226"/>
      <c r="D24" s="225"/>
      <c r="E24" s="237"/>
      <c r="F24" s="231" t="s">
        <v>511</v>
      </c>
      <c r="G24" s="249"/>
      <c r="H24" s="240"/>
      <c r="I24" s="240"/>
      <c r="J24" s="240"/>
      <c r="K24" s="240"/>
      <c r="L24" s="244"/>
      <c r="M24" s="244"/>
      <c r="N24" s="251">
        <f>SUM(N25:N27)</f>
        <v>1400000</v>
      </c>
      <c r="O24" s="235"/>
      <c r="P24" s="235"/>
      <c r="Q24" s="235"/>
      <c r="R24" s="246"/>
    </row>
    <row r="25" spans="1:21" ht="14.45" customHeight="1">
      <c r="A25" s="224"/>
      <c r="B25" s="225"/>
      <c r="C25" s="226"/>
      <c r="D25" s="225"/>
      <c r="E25" s="237"/>
      <c r="F25" s="238" t="s">
        <v>1521</v>
      </c>
      <c r="G25" s="252">
        <v>300000</v>
      </c>
      <c r="H25" s="240" t="s">
        <v>277</v>
      </c>
      <c r="I25" s="241">
        <v>1</v>
      </c>
      <c r="J25" s="240" t="s">
        <v>109</v>
      </c>
      <c r="K25" s="242">
        <v>2</v>
      </c>
      <c r="L25" s="244"/>
      <c r="M25" s="244" t="s">
        <v>274</v>
      </c>
      <c r="N25" s="245">
        <f>ROUNDUP(G25*I25*K25,-3)</f>
        <v>600000</v>
      </c>
      <c r="O25" s="235"/>
      <c r="P25" s="235"/>
      <c r="Q25" s="235"/>
      <c r="R25" s="246"/>
    </row>
    <row r="26" spans="1:21" ht="14.45" customHeight="1">
      <c r="A26" s="224"/>
      <c r="B26" s="225"/>
      <c r="C26" s="226"/>
      <c r="D26" s="225"/>
      <c r="E26" s="247"/>
      <c r="F26" s="248" t="s">
        <v>1522</v>
      </c>
      <c r="G26" s="252">
        <v>200000</v>
      </c>
      <c r="H26" s="240" t="s">
        <v>273</v>
      </c>
      <c r="I26" s="241">
        <v>1</v>
      </c>
      <c r="J26" s="240" t="s">
        <v>109</v>
      </c>
      <c r="K26" s="242">
        <v>2</v>
      </c>
      <c r="L26" s="244"/>
      <c r="M26" s="244" t="s">
        <v>283</v>
      </c>
      <c r="N26" s="245">
        <f>ROUNDUP(G26*I26*K26,-3)</f>
        <v>400000</v>
      </c>
      <c r="O26" s="235"/>
      <c r="P26" s="235"/>
      <c r="Q26" s="235"/>
      <c r="R26" s="246"/>
    </row>
    <row r="27" spans="1:21" ht="14.45" customHeight="1">
      <c r="A27" s="224"/>
      <c r="B27" s="225"/>
      <c r="C27" s="226"/>
      <c r="D27" s="225"/>
      <c r="E27" s="247"/>
      <c r="F27" s="248" t="s">
        <v>1523</v>
      </c>
      <c r="G27" s="252">
        <v>100000</v>
      </c>
      <c r="H27" s="240" t="s">
        <v>277</v>
      </c>
      <c r="I27" s="241">
        <v>2</v>
      </c>
      <c r="J27" s="240" t="s">
        <v>109</v>
      </c>
      <c r="K27" s="242">
        <v>2</v>
      </c>
      <c r="L27" s="244"/>
      <c r="M27" s="244" t="s">
        <v>283</v>
      </c>
      <c r="N27" s="245">
        <f>ROUNDUP(G27*I27*K27,-3)</f>
        <v>400000</v>
      </c>
      <c r="O27" s="235"/>
      <c r="P27" s="235"/>
      <c r="Q27" s="235"/>
      <c r="R27" s="246"/>
    </row>
    <row r="28" spans="1:21" ht="14.45" customHeight="1">
      <c r="A28" s="224"/>
      <c r="B28" s="225"/>
      <c r="C28" s="226"/>
      <c r="D28" s="225"/>
      <c r="E28" s="255" t="s">
        <v>514</v>
      </c>
      <c r="F28" s="227"/>
      <c r="G28" s="228"/>
      <c r="H28" s="66"/>
      <c r="I28" s="66"/>
      <c r="J28" s="66"/>
      <c r="K28" s="66"/>
      <c r="L28" s="230"/>
      <c r="M28" s="230"/>
      <c r="N28" s="66"/>
      <c r="O28" s="171">
        <f>SUM(N29)</f>
        <v>1800000</v>
      </c>
      <c r="P28" s="171">
        <v>1200000</v>
      </c>
      <c r="Q28" s="171">
        <f>O28-P28</f>
        <v>600000</v>
      </c>
      <c r="R28" s="172">
        <f t="shared" ref="R28:R31" si="1">Q28/P28</f>
        <v>0.5</v>
      </c>
    </row>
    <row r="29" spans="1:21" ht="14.45" customHeight="1">
      <c r="A29" s="224"/>
      <c r="B29" s="225"/>
      <c r="C29" s="226"/>
      <c r="D29" s="225"/>
      <c r="E29" s="226"/>
      <c r="F29" s="231" t="s">
        <v>653</v>
      </c>
      <c r="G29" s="249"/>
      <c r="H29" s="240"/>
      <c r="I29" s="240"/>
      <c r="J29" s="240"/>
      <c r="K29" s="240"/>
      <c r="L29" s="244"/>
      <c r="M29" s="244"/>
      <c r="N29" s="251">
        <f>SUM(N30:N30)</f>
        <v>1800000</v>
      </c>
      <c r="O29" s="235"/>
      <c r="P29" s="235"/>
      <c r="Q29" s="235"/>
      <c r="R29" s="246"/>
    </row>
    <row r="30" spans="1:21" ht="14.45" customHeight="1">
      <c r="A30" s="224"/>
      <c r="B30" s="225"/>
      <c r="C30" s="226"/>
      <c r="D30" s="225"/>
      <c r="E30" s="237"/>
      <c r="F30" s="238" t="s">
        <v>515</v>
      </c>
      <c r="G30" s="252">
        <v>21600000</v>
      </c>
      <c r="H30" s="240" t="s">
        <v>277</v>
      </c>
      <c r="I30" s="1998">
        <v>12</v>
      </c>
      <c r="J30" s="1998"/>
      <c r="K30" s="242"/>
      <c r="L30" s="244"/>
      <c r="M30" s="244" t="s">
        <v>1520</v>
      </c>
      <c r="N30" s="245">
        <f>ROUNDUP(G30/I30,-3)</f>
        <v>1800000</v>
      </c>
      <c r="O30" s="235"/>
      <c r="P30" s="235"/>
      <c r="Q30" s="235"/>
      <c r="R30" s="246"/>
    </row>
    <row r="31" spans="1:21" ht="14.45" customHeight="1">
      <c r="A31" s="224"/>
      <c r="B31" s="225"/>
      <c r="C31" s="226"/>
      <c r="D31" s="84" t="s">
        <v>654</v>
      </c>
      <c r="E31" s="84"/>
      <c r="F31" s="85"/>
      <c r="G31" s="86"/>
      <c r="H31" s="84"/>
      <c r="I31" s="84"/>
      <c r="J31" s="84"/>
      <c r="K31" s="84"/>
      <c r="L31" s="87"/>
      <c r="M31" s="87"/>
      <c r="N31" s="84"/>
      <c r="O31" s="76">
        <f>O32+O37+O40+O48+O52+O58</f>
        <v>23047000</v>
      </c>
      <c r="P31" s="76">
        <f>P32+P37+P40+P48+P52+P58</f>
        <v>14840000</v>
      </c>
      <c r="Q31" s="76">
        <f>O31-P31</f>
        <v>8207000</v>
      </c>
      <c r="R31" s="135">
        <f t="shared" si="1"/>
        <v>0.55303234501347709</v>
      </c>
    </row>
    <row r="32" spans="1:21" ht="14.45" customHeight="1">
      <c r="A32" s="224"/>
      <c r="B32" s="225"/>
      <c r="C32" s="226"/>
      <c r="D32" s="225"/>
      <c r="E32" s="66" t="s">
        <v>442</v>
      </c>
      <c r="F32" s="227"/>
      <c r="G32" s="228"/>
      <c r="H32" s="66"/>
      <c r="I32" s="66"/>
      <c r="J32" s="66"/>
      <c r="K32" s="66"/>
      <c r="L32" s="230"/>
      <c r="M32" s="230"/>
      <c r="N32" s="66"/>
      <c r="O32" s="171">
        <f>N34+N36</f>
        <v>840000</v>
      </c>
      <c r="P32" s="171">
        <v>0</v>
      </c>
      <c r="Q32" s="171">
        <f>O32-P32</f>
        <v>840000</v>
      </c>
      <c r="R32" s="172">
        <v>1</v>
      </c>
    </row>
    <row r="33" spans="1:18" ht="14.45" customHeight="1">
      <c r="A33" s="224"/>
      <c r="B33" s="225"/>
      <c r="C33" s="226"/>
      <c r="D33" s="225"/>
      <c r="E33" s="226"/>
      <c r="F33" s="231" t="s">
        <v>1525</v>
      </c>
      <c r="G33" s="249"/>
      <c r="H33" s="240"/>
      <c r="I33" s="240"/>
      <c r="J33" s="240"/>
      <c r="K33" s="240"/>
      <c r="L33" s="244"/>
      <c r="M33" s="244"/>
      <c r="N33" s="251">
        <f>SUM(N34:N34)</f>
        <v>120000</v>
      </c>
      <c r="O33" s="235"/>
      <c r="P33" s="235"/>
      <c r="Q33" s="235"/>
      <c r="R33" s="246"/>
    </row>
    <row r="34" spans="1:18" ht="14.45" customHeight="1">
      <c r="A34" s="224"/>
      <c r="B34" s="225"/>
      <c r="C34" s="226"/>
      <c r="D34" s="225"/>
      <c r="E34" s="237"/>
      <c r="F34" s="238" t="s">
        <v>1526</v>
      </c>
      <c r="G34" s="252">
        <v>10000</v>
      </c>
      <c r="H34" s="240" t="s">
        <v>273</v>
      </c>
      <c r="I34" s="242">
        <v>12</v>
      </c>
      <c r="J34" s="240"/>
      <c r="K34" s="242"/>
      <c r="L34" s="244"/>
      <c r="M34" s="244" t="s">
        <v>283</v>
      </c>
      <c r="N34" s="245">
        <f>ROUNDUP(G34*I34,-3)</f>
        <v>120000</v>
      </c>
      <c r="O34" s="235"/>
      <c r="P34" s="235"/>
      <c r="Q34" s="235"/>
      <c r="R34" s="246"/>
    </row>
    <row r="35" spans="1:18" ht="14.45" customHeight="1">
      <c r="A35" s="224"/>
      <c r="B35" s="225"/>
      <c r="C35" s="226"/>
      <c r="D35" s="225"/>
      <c r="E35" s="226"/>
      <c r="F35" s="231" t="s">
        <v>1527</v>
      </c>
      <c r="G35" s="249"/>
      <c r="H35" s="240"/>
      <c r="I35" s="240"/>
      <c r="J35" s="240"/>
      <c r="K35" s="240"/>
      <c r="L35" s="244"/>
      <c r="M35" s="244"/>
      <c r="N35" s="251">
        <f>SUM(N36:N36)</f>
        <v>720000</v>
      </c>
      <c r="O35" s="235"/>
      <c r="P35" s="235"/>
      <c r="Q35" s="235"/>
      <c r="R35" s="246"/>
    </row>
    <row r="36" spans="1:18" ht="14.45" customHeight="1">
      <c r="A36" s="224"/>
      <c r="B36" s="225"/>
      <c r="C36" s="226"/>
      <c r="D36" s="225"/>
      <c r="E36" s="577"/>
      <c r="F36" s="578" t="s">
        <v>812</v>
      </c>
      <c r="G36" s="579">
        <v>60000</v>
      </c>
      <c r="H36" s="283" t="s">
        <v>277</v>
      </c>
      <c r="I36" s="284">
        <v>12</v>
      </c>
      <c r="J36" s="283"/>
      <c r="K36" s="284"/>
      <c r="L36" s="285"/>
      <c r="M36" s="285" t="s">
        <v>274</v>
      </c>
      <c r="N36" s="286">
        <f>ROUNDUP(G36*I36,-3)</f>
        <v>720000</v>
      </c>
      <c r="O36" s="287"/>
      <c r="P36" s="287"/>
      <c r="Q36" s="287"/>
      <c r="R36" s="288"/>
    </row>
    <row r="37" spans="1:18" ht="14.45" customHeight="1">
      <c r="A37" s="224"/>
      <c r="B37" s="225"/>
      <c r="C37" s="226"/>
      <c r="D37" s="225"/>
      <c r="E37" s="363" t="s">
        <v>813</v>
      </c>
      <c r="F37" s="364"/>
      <c r="G37" s="365"/>
      <c r="H37" s="363"/>
      <c r="I37" s="363"/>
      <c r="J37" s="363"/>
      <c r="K37" s="363"/>
      <c r="L37" s="367"/>
      <c r="M37" s="367"/>
      <c r="N37" s="363"/>
      <c r="O37" s="188">
        <f>N38</f>
        <v>2400000</v>
      </c>
      <c r="P37" s="188">
        <v>2400000</v>
      </c>
      <c r="Q37" s="188">
        <f>O37-P37</f>
        <v>0</v>
      </c>
      <c r="R37" s="570">
        <f t="shared" ref="R37" si="2">Q37/P37</f>
        <v>0</v>
      </c>
    </row>
    <row r="38" spans="1:18" ht="14.45" customHeight="1">
      <c r="A38" s="224"/>
      <c r="B38" s="225"/>
      <c r="C38" s="226"/>
      <c r="D38" s="225"/>
      <c r="E38" s="226"/>
      <c r="F38" s="231" t="s">
        <v>880</v>
      </c>
      <c r="G38" s="249"/>
      <c r="H38" s="240"/>
      <c r="I38" s="240"/>
      <c r="J38" s="240"/>
      <c r="K38" s="240"/>
      <c r="L38" s="244"/>
      <c r="M38" s="244"/>
      <c r="N38" s="251">
        <f>SUM(N39:N39)</f>
        <v>2400000</v>
      </c>
      <c r="O38" s="235"/>
      <c r="P38" s="235"/>
      <c r="Q38" s="235"/>
      <c r="R38" s="246"/>
    </row>
    <row r="39" spans="1:18" ht="14.45" customHeight="1">
      <c r="A39" s="576"/>
      <c r="B39" s="278"/>
      <c r="C39" s="279"/>
      <c r="D39" s="278"/>
      <c r="E39" s="577"/>
      <c r="F39" s="578" t="s">
        <v>1524</v>
      </c>
      <c r="G39" s="579">
        <v>200000</v>
      </c>
      <c r="H39" s="283" t="s">
        <v>636</v>
      </c>
      <c r="I39" s="284">
        <v>12</v>
      </c>
      <c r="J39" s="283"/>
      <c r="K39" s="284"/>
      <c r="L39" s="285"/>
      <c r="M39" s="285" t="s">
        <v>283</v>
      </c>
      <c r="N39" s="286">
        <f>ROUNDUP(G39*I39,-3)</f>
        <v>2400000</v>
      </c>
      <c r="O39" s="287"/>
      <c r="P39" s="287"/>
      <c r="Q39" s="287"/>
      <c r="R39" s="288"/>
    </row>
    <row r="40" spans="1:18" ht="14.45" customHeight="1">
      <c r="A40" s="224"/>
      <c r="B40" s="225"/>
      <c r="C40" s="226"/>
      <c r="D40" s="225"/>
      <c r="E40" s="363" t="s">
        <v>404</v>
      </c>
      <c r="F40" s="364"/>
      <c r="G40" s="365"/>
      <c r="H40" s="363"/>
      <c r="I40" s="363"/>
      <c r="J40" s="363"/>
      <c r="K40" s="363"/>
      <c r="L40" s="367"/>
      <c r="M40" s="367"/>
      <c r="N40" s="363"/>
      <c r="O40" s="188">
        <f>N41</f>
        <v>10298000</v>
      </c>
      <c r="P40" s="188">
        <v>0</v>
      </c>
      <c r="Q40" s="188">
        <f>O40-P40</f>
        <v>10298000</v>
      </c>
      <c r="R40" s="570">
        <v>1</v>
      </c>
    </row>
    <row r="41" spans="1:18" ht="14.45" customHeight="1">
      <c r="A41" s="224"/>
      <c r="B41" s="225"/>
      <c r="C41" s="226"/>
      <c r="D41" s="225"/>
      <c r="E41" s="226"/>
      <c r="F41" s="231" t="s">
        <v>405</v>
      </c>
      <c r="G41" s="249"/>
      <c r="H41" s="240"/>
      <c r="I41" s="240"/>
      <c r="J41" s="240"/>
      <c r="K41" s="240"/>
      <c r="L41" s="244"/>
      <c r="M41" s="244"/>
      <c r="N41" s="251">
        <f>SUM(N42:N47)</f>
        <v>10298000</v>
      </c>
      <c r="O41" s="235"/>
      <c r="P41" s="235"/>
      <c r="Q41" s="235"/>
      <c r="R41" s="246"/>
    </row>
    <row r="42" spans="1:18" ht="14.45" customHeight="1">
      <c r="A42" s="224"/>
      <c r="B42" s="225"/>
      <c r="C42" s="226"/>
      <c r="D42" s="225"/>
      <c r="E42" s="237"/>
      <c r="F42" s="231" t="s">
        <v>1528</v>
      </c>
      <c r="G42" s="252">
        <v>14000</v>
      </c>
      <c r="H42" s="240" t="s">
        <v>273</v>
      </c>
      <c r="I42" s="242">
        <v>12</v>
      </c>
      <c r="J42" s="240"/>
      <c r="K42" s="242"/>
      <c r="L42" s="244"/>
      <c r="M42" s="244" t="s">
        <v>274</v>
      </c>
      <c r="N42" s="245">
        <f t="shared" ref="N42:N47" si="3">ROUNDUP(G42*I42,-3)</f>
        <v>168000</v>
      </c>
      <c r="O42" s="235"/>
      <c r="P42" s="235"/>
      <c r="Q42" s="235"/>
      <c r="R42" s="246"/>
    </row>
    <row r="43" spans="1:18" ht="14.45" customHeight="1">
      <c r="A43" s="224"/>
      <c r="B43" s="225"/>
      <c r="C43" s="226"/>
      <c r="D43" s="225"/>
      <c r="E43" s="247"/>
      <c r="F43" s="231" t="s">
        <v>1529</v>
      </c>
      <c r="G43" s="252">
        <v>88000</v>
      </c>
      <c r="H43" s="240" t="s">
        <v>273</v>
      </c>
      <c r="I43" s="242">
        <v>12</v>
      </c>
      <c r="J43" s="240"/>
      <c r="K43" s="242"/>
      <c r="L43" s="244"/>
      <c r="M43" s="244" t="s">
        <v>274</v>
      </c>
      <c r="N43" s="245">
        <f t="shared" si="3"/>
        <v>1056000</v>
      </c>
      <c r="O43" s="235"/>
      <c r="P43" s="235"/>
      <c r="Q43" s="235"/>
      <c r="R43" s="246"/>
    </row>
    <row r="44" spans="1:18" ht="14.45" customHeight="1">
      <c r="A44" s="224"/>
      <c r="B44" s="225"/>
      <c r="C44" s="226"/>
      <c r="D44" s="225"/>
      <c r="E44" s="247"/>
      <c r="F44" s="231" t="s">
        <v>1530</v>
      </c>
      <c r="G44" s="252">
        <v>50000</v>
      </c>
      <c r="H44" s="240" t="s">
        <v>277</v>
      </c>
      <c r="I44" s="242">
        <v>12</v>
      </c>
      <c r="J44" s="240"/>
      <c r="K44" s="242"/>
      <c r="L44" s="244"/>
      <c r="M44" s="244" t="s">
        <v>283</v>
      </c>
      <c r="N44" s="245">
        <f t="shared" si="3"/>
        <v>600000</v>
      </c>
      <c r="O44" s="235"/>
      <c r="P44" s="235"/>
      <c r="Q44" s="235"/>
      <c r="R44" s="246"/>
    </row>
    <row r="45" spans="1:18" ht="14.45" customHeight="1">
      <c r="A45" s="224"/>
      <c r="B45" s="225"/>
      <c r="C45" s="226"/>
      <c r="D45" s="225"/>
      <c r="E45" s="247"/>
      <c r="F45" s="231" t="s">
        <v>1531</v>
      </c>
      <c r="G45" s="252">
        <v>550000</v>
      </c>
      <c r="H45" s="240" t="s">
        <v>277</v>
      </c>
      <c r="I45" s="242">
        <v>12</v>
      </c>
      <c r="J45" s="240"/>
      <c r="K45" s="242"/>
      <c r="L45" s="244"/>
      <c r="M45" s="244" t="s">
        <v>274</v>
      </c>
      <c r="N45" s="245">
        <f t="shared" si="3"/>
        <v>6600000</v>
      </c>
      <c r="O45" s="235"/>
      <c r="P45" s="235"/>
      <c r="Q45" s="235"/>
      <c r="R45" s="246"/>
    </row>
    <row r="46" spans="1:18" ht="14.45" customHeight="1">
      <c r="A46" s="224"/>
      <c r="B46" s="225"/>
      <c r="C46" s="226"/>
      <c r="D46" s="225"/>
      <c r="E46" s="247"/>
      <c r="F46" s="231" t="s">
        <v>1532</v>
      </c>
      <c r="G46" s="252">
        <v>112100</v>
      </c>
      <c r="H46" s="240" t="s">
        <v>273</v>
      </c>
      <c r="I46" s="242">
        <v>12</v>
      </c>
      <c r="J46" s="240"/>
      <c r="K46" s="242"/>
      <c r="L46" s="244"/>
      <c r="M46" s="244" t="s">
        <v>283</v>
      </c>
      <c r="N46" s="245">
        <f t="shared" si="3"/>
        <v>1346000</v>
      </c>
      <c r="O46" s="235"/>
      <c r="P46" s="235"/>
      <c r="Q46" s="235"/>
      <c r="R46" s="246"/>
    </row>
    <row r="47" spans="1:18" ht="14.45" customHeight="1">
      <c r="A47" s="224"/>
      <c r="B47" s="225"/>
      <c r="C47" s="226"/>
      <c r="D47" s="225"/>
      <c r="E47" s="247"/>
      <c r="F47" s="231" t="s">
        <v>1533</v>
      </c>
      <c r="G47" s="252">
        <v>44000</v>
      </c>
      <c r="H47" s="240" t="s">
        <v>277</v>
      </c>
      <c r="I47" s="242">
        <v>12</v>
      </c>
      <c r="J47" s="240"/>
      <c r="K47" s="242"/>
      <c r="L47" s="244"/>
      <c r="M47" s="244" t="s">
        <v>274</v>
      </c>
      <c r="N47" s="245">
        <f t="shared" si="3"/>
        <v>528000</v>
      </c>
      <c r="O47" s="235"/>
      <c r="P47" s="235"/>
      <c r="Q47" s="235"/>
      <c r="R47" s="246"/>
    </row>
    <row r="48" spans="1:18" ht="14.45" customHeight="1">
      <c r="A48" s="224"/>
      <c r="B48" s="225"/>
      <c r="C48" s="226"/>
      <c r="D48" s="225"/>
      <c r="E48" s="66" t="s">
        <v>410</v>
      </c>
      <c r="F48" s="227"/>
      <c r="G48" s="228"/>
      <c r="H48" s="66"/>
      <c r="I48" s="66"/>
      <c r="J48" s="66"/>
      <c r="K48" s="66"/>
      <c r="L48" s="230"/>
      <c r="M48" s="230"/>
      <c r="N48" s="66"/>
      <c r="O48" s="171">
        <f>N49</f>
        <v>9000000</v>
      </c>
      <c r="P48" s="171">
        <v>2040000</v>
      </c>
      <c r="Q48" s="171">
        <f>O48-P48</f>
        <v>6960000</v>
      </c>
      <c r="R48" s="172">
        <f t="shared" ref="R48:R52" si="4">Q48/P48</f>
        <v>3.4117647058823528</v>
      </c>
    </row>
    <row r="49" spans="1:18" ht="14.45" customHeight="1">
      <c r="A49" s="224"/>
      <c r="B49" s="225"/>
      <c r="C49" s="226"/>
      <c r="D49" s="225"/>
      <c r="E49" s="226"/>
      <c r="F49" s="231" t="s">
        <v>1534</v>
      </c>
      <c r="G49" s="249"/>
      <c r="H49" s="240"/>
      <c r="I49" s="240"/>
      <c r="J49" s="240"/>
      <c r="K49" s="240"/>
      <c r="L49" s="244"/>
      <c r="M49" s="244"/>
      <c r="N49" s="251">
        <f>SUM(N50:N51)</f>
        <v>9000000</v>
      </c>
      <c r="O49" s="235"/>
      <c r="P49" s="235"/>
      <c r="Q49" s="235"/>
      <c r="R49" s="246"/>
    </row>
    <row r="50" spans="1:18" ht="14.45" customHeight="1">
      <c r="A50" s="224"/>
      <c r="B50" s="225"/>
      <c r="C50" s="226"/>
      <c r="D50" s="225"/>
      <c r="E50" s="237"/>
      <c r="F50" s="238" t="s">
        <v>1535</v>
      </c>
      <c r="G50" s="252">
        <v>4000000</v>
      </c>
      <c r="H50" s="240" t="s">
        <v>1513</v>
      </c>
      <c r="I50" s="256">
        <v>1</v>
      </c>
      <c r="J50" s="240"/>
      <c r="K50" s="242"/>
      <c r="L50" s="244"/>
      <c r="M50" s="244" t="s">
        <v>283</v>
      </c>
      <c r="N50" s="245">
        <f>ROUNDUP(G50*I50,-3)</f>
        <v>4000000</v>
      </c>
      <c r="O50" s="235"/>
      <c r="P50" s="235"/>
      <c r="Q50" s="235"/>
      <c r="R50" s="246"/>
    </row>
    <row r="51" spans="1:18" ht="14.45" customHeight="1">
      <c r="A51" s="224"/>
      <c r="B51" s="225"/>
      <c r="C51" s="226"/>
      <c r="D51" s="225"/>
      <c r="E51" s="237"/>
      <c r="F51" s="238" t="s">
        <v>1536</v>
      </c>
      <c r="G51" s="252">
        <v>5000000</v>
      </c>
      <c r="H51" s="240" t="s">
        <v>277</v>
      </c>
      <c r="I51" s="256">
        <v>1</v>
      </c>
      <c r="J51" s="240"/>
      <c r="K51" s="242"/>
      <c r="L51" s="244"/>
      <c r="M51" s="244" t="s">
        <v>274</v>
      </c>
      <c r="N51" s="245">
        <f>ROUNDUP(G51*I51,-3)</f>
        <v>5000000</v>
      </c>
      <c r="O51" s="235"/>
      <c r="P51" s="235"/>
      <c r="Q51" s="235"/>
      <c r="R51" s="246"/>
    </row>
    <row r="52" spans="1:18" ht="14.45" customHeight="1">
      <c r="A52" s="224"/>
      <c r="B52" s="225"/>
      <c r="C52" s="226"/>
      <c r="D52" s="225"/>
      <c r="E52" s="66" t="s">
        <v>414</v>
      </c>
      <c r="F52" s="227"/>
      <c r="G52" s="228"/>
      <c r="H52" s="66"/>
      <c r="I52" s="66"/>
      <c r="J52" s="66"/>
      <c r="K52" s="66"/>
      <c r="L52" s="230"/>
      <c r="M52" s="230"/>
      <c r="N52" s="66"/>
      <c r="O52" s="171">
        <f>N53</f>
        <v>509000</v>
      </c>
      <c r="P52" s="171">
        <v>800000</v>
      </c>
      <c r="Q52" s="171">
        <f>O52-P52</f>
        <v>-291000</v>
      </c>
      <c r="R52" s="172">
        <f t="shared" si="4"/>
        <v>-0.36375000000000002</v>
      </c>
    </row>
    <row r="53" spans="1:18" ht="14.45" customHeight="1">
      <c r="A53" s="224"/>
      <c r="B53" s="225"/>
      <c r="C53" s="226"/>
      <c r="D53" s="225"/>
      <c r="E53" s="257"/>
      <c r="F53" s="258" t="s">
        <v>825</v>
      </c>
      <c r="G53" s="259"/>
      <c r="H53" s="260"/>
      <c r="I53" s="260"/>
      <c r="J53" s="260"/>
      <c r="K53" s="260"/>
      <c r="L53" s="261"/>
      <c r="M53" s="261"/>
      <c r="N53" s="262">
        <f>SUM(N54:N57)</f>
        <v>509000</v>
      </c>
      <c r="O53" s="263"/>
      <c r="P53" s="263"/>
      <c r="Q53" s="263"/>
      <c r="R53" s="264"/>
    </row>
    <row r="54" spans="1:18" ht="14.45" customHeight="1">
      <c r="A54" s="224"/>
      <c r="B54" s="225"/>
      <c r="C54" s="226"/>
      <c r="D54" s="225"/>
      <c r="E54" s="237"/>
      <c r="F54" s="238" t="s">
        <v>1537</v>
      </c>
      <c r="G54" s="252">
        <v>410000</v>
      </c>
      <c r="H54" s="240" t="s">
        <v>273</v>
      </c>
      <c r="I54" s="256">
        <v>1</v>
      </c>
      <c r="J54" s="240"/>
      <c r="K54" s="242"/>
      <c r="L54" s="244"/>
      <c r="M54" s="244" t="s">
        <v>274</v>
      </c>
      <c r="N54" s="245">
        <f>ROUNDUP(G54*I54,-3)</f>
        <v>410000</v>
      </c>
      <c r="O54" s="235"/>
      <c r="P54" s="235"/>
      <c r="Q54" s="235"/>
      <c r="R54" s="246"/>
    </row>
    <row r="55" spans="1:18" ht="14.45" customHeight="1">
      <c r="A55" s="224"/>
      <c r="B55" s="225"/>
      <c r="C55" s="226"/>
      <c r="D55" s="225"/>
      <c r="E55" s="237"/>
      <c r="F55" s="238" t="s">
        <v>1538</v>
      </c>
      <c r="G55" s="249">
        <v>60900</v>
      </c>
      <c r="H55" s="240" t="s">
        <v>273</v>
      </c>
      <c r="I55" s="256">
        <v>1</v>
      </c>
      <c r="J55" s="240"/>
      <c r="K55" s="242"/>
      <c r="L55" s="244"/>
      <c r="M55" s="244" t="s">
        <v>274</v>
      </c>
      <c r="N55" s="245">
        <f>ROUNDUP(G55*I55,-3)</f>
        <v>61000</v>
      </c>
      <c r="O55" s="235"/>
      <c r="P55" s="235"/>
      <c r="Q55" s="235"/>
      <c r="R55" s="246"/>
    </row>
    <row r="56" spans="1:18" ht="14.45" customHeight="1">
      <c r="A56" s="224"/>
      <c r="B56" s="225"/>
      <c r="C56" s="226"/>
      <c r="D56" s="225"/>
      <c r="E56" s="237"/>
      <c r="F56" s="248" t="s">
        <v>1539</v>
      </c>
      <c r="G56" s="249">
        <v>22100</v>
      </c>
      <c r="H56" s="240" t="s">
        <v>1513</v>
      </c>
      <c r="I56" s="256">
        <v>1</v>
      </c>
      <c r="J56" s="240"/>
      <c r="K56" s="242"/>
      <c r="L56" s="244"/>
      <c r="M56" s="244" t="s">
        <v>283</v>
      </c>
      <c r="N56" s="245">
        <f>ROUNDUP(G56*I56,-3)</f>
        <v>23000</v>
      </c>
      <c r="O56" s="235"/>
      <c r="P56" s="235"/>
      <c r="Q56" s="235"/>
      <c r="R56" s="246"/>
    </row>
    <row r="57" spans="1:18" ht="14.45" customHeight="1">
      <c r="A57" s="224"/>
      <c r="B57" s="225"/>
      <c r="C57" s="226"/>
      <c r="D57" s="225"/>
      <c r="E57" s="247"/>
      <c r="F57" s="248" t="s">
        <v>1540</v>
      </c>
      <c r="G57" s="249">
        <v>7280</v>
      </c>
      <c r="H57" s="240" t="s">
        <v>277</v>
      </c>
      <c r="I57" s="256">
        <v>2</v>
      </c>
      <c r="J57" s="240"/>
      <c r="K57" s="242"/>
      <c r="L57" s="244"/>
      <c r="M57" s="244" t="s">
        <v>283</v>
      </c>
      <c r="N57" s="245">
        <f>ROUNDUP(G57*I57,-3)</f>
        <v>15000</v>
      </c>
      <c r="O57" s="235"/>
      <c r="P57" s="235"/>
      <c r="Q57" s="235"/>
      <c r="R57" s="246"/>
    </row>
    <row r="58" spans="1:18" ht="14.45" customHeight="1">
      <c r="A58" s="224"/>
      <c r="B58" s="225"/>
      <c r="C58" s="226"/>
      <c r="D58" s="521"/>
      <c r="E58" s="255" t="s">
        <v>755</v>
      </c>
      <c r="F58" s="227"/>
      <c r="G58" s="228"/>
      <c r="H58" s="66"/>
      <c r="I58" s="66"/>
      <c r="J58" s="66"/>
      <c r="K58" s="66"/>
      <c r="L58" s="230"/>
      <c r="M58" s="230"/>
      <c r="N58" s="66"/>
      <c r="O58" s="171">
        <f>N59</f>
        <v>0</v>
      </c>
      <c r="P58" s="171">
        <v>9600000</v>
      </c>
      <c r="Q58" s="171">
        <f>O58-P58</f>
        <v>-9600000</v>
      </c>
      <c r="R58" s="172">
        <f t="shared" ref="R58" si="5">Q58/P58</f>
        <v>-1</v>
      </c>
    </row>
    <row r="59" spans="1:18" ht="14.45" customHeight="1">
      <c r="A59" s="224"/>
      <c r="B59" s="222"/>
      <c r="C59" s="214" t="s">
        <v>837</v>
      </c>
      <c r="D59" s="266"/>
      <c r="E59" s="214"/>
      <c r="F59" s="215"/>
      <c r="G59" s="216"/>
      <c r="H59" s="217"/>
      <c r="I59" s="217"/>
      <c r="J59" s="217"/>
      <c r="K59" s="217"/>
      <c r="L59" s="219"/>
      <c r="M59" s="219"/>
      <c r="N59" s="217"/>
      <c r="O59" s="500">
        <f>O60</f>
        <v>32226000</v>
      </c>
      <c r="P59" s="500">
        <f>P60</f>
        <v>23485000</v>
      </c>
      <c r="Q59" s="220">
        <f>O59-P59</f>
        <v>8741000</v>
      </c>
      <c r="R59" s="221">
        <f t="shared" ref="R59:R134" si="6">Q59/P59</f>
        <v>0.37219501809665745</v>
      </c>
    </row>
    <row r="60" spans="1:18" ht="14.45" customHeight="1">
      <c r="A60" s="224"/>
      <c r="B60" s="222"/>
      <c r="C60" s="223"/>
      <c r="D60" s="394" t="s">
        <v>527</v>
      </c>
      <c r="E60" s="84"/>
      <c r="F60" s="85"/>
      <c r="G60" s="86"/>
      <c r="H60" s="84"/>
      <c r="I60" s="84"/>
      <c r="J60" s="84"/>
      <c r="K60" s="84"/>
      <c r="L60" s="87"/>
      <c r="M60" s="87"/>
      <c r="N60" s="84"/>
      <c r="O60" s="76">
        <f>O61</f>
        <v>32226000</v>
      </c>
      <c r="P60" s="76">
        <f>P61</f>
        <v>23485000</v>
      </c>
      <c r="Q60" s="76">
        <f>O60-P60</f>
        <v>8741000</v>
      </c>
      <c r="R60" s="77">
        <f t="shared" si="6"/>
        <v>0.37219501809665745</v>
      </c>
    </row>
    <row r="61" spans="1:18" ht="14.45" customHeight="1">
      <c r="A61" s="224"/>
      <c r="B61" s="225"/>
      <c r="C61" s="226"/>
      <c r="D61" s="267"/>
      <c r="E61" s="66" t="s">
        <v>1541</v>
      </c>
      <c r="F61" s="269"/>
      <c r="G61" s="270"/>
      <c r="H61" s="268"/>
      <c r="I61" s="268"/>
      <c r="J61" s="268"/>
      <c r="K61" s="268"/>
      <c r="L61" s="271"/>
      <c r="M61" s="271"/>
      <c r="N61" s="268"/>
      <c r="O61" s="171">
        <f>N62+N68+N73+N77+N81+N84+N89+N93+N97+N101+N106+N110+N115+N116+N69</f>
        <v>32226000</v>
      </c>
      <c r="P61" s="171">
        <v>23485000</v>
      </c>
      <c r="Q61" s="171">
        <f>O61-P61</f>
        <v>8741000</v>
      </c>
      <c r="R61" s="172">
        <f t="shared" si="6"/>
        <v>0.37219501809665745</v>
      </c>
    </row>
    <row r="62" spans="1:18" ht="14.45" customHeight="1">
      <c r="A62" s="224"/>
      <c r="B62" s="225"/>
      <c r="C62" s="226"/>
      <c r="D62" s="225"/>
      <c r="E62" s="226"/>
      <c r="F62" s="498" t="s">
        <v>2492</v>
      </c>
      <c r="G62" s="252"/>
      <c r="H62" s="240"/>
      <c r="I62" s="242"/>
      <c r="J62" s="240"/>
      <c r="K62" s="242"/>
      <c r="L62" s="244"/>
      <c r="M62" s="244"/>
      <c r="N62" s="251">
        <f>SUM(N63:N66)</f>
        <v>2996000</v>
      </c>
      <c r="O62" s="235"/>
      <c r="P62" s="235"/>
      <c r="Q62" s="235"/>
      <c r="R62" s="246"/>
    </row>
    <row r="63" spans="1:18" ht="14.45" customHeight="1">
      <c r="A63" s="224"/>
      <c r="B63" s="225"/>
      <c r="C63" s="226"/>
      <c r="D63" s="225"/>
      <c r="E63" s="226"/>
      <c r="F63" s="248" t="s">
        <v>2488</v>
      </c>
      <c r="G63" s="252">
        <v>100000</v>
      </c>
      <c r="H63" s="240" t="s">
        <v>273</v>
      </c>
      <c r="I63" s="242">
        <v>12</v>
      </c>
      <c r="J63" s="240"/>
      <c r="K63" s="242"/>
      <c r="L63" s="244"/>
      <c r="M63" s="244" t="s">
        <v>110</v>
      </c>
      <c r="N63" s="575">
        <f>G63*I63</f>
        <v>1200000</v>
      </c>
      <c r="O63" s="235"/>
      <c r="P63" s="235"/>
      <c r="Q63" s="235"/>
      <c r="R63" s="246"/>
    </row>
    <row r="64" spans="1:18" ht="14.45" customHeight="1">
      <c r="A64" s="224"/>
      <c r="B64" s="225"/>
      <c r="C64" s="226"/>
      <c r="D64" s="225"/>
      <c r="E64" s="226"/>
      <c r="F64" s="248" t="s">
        <v>2489</v>
      </c>
      <c r="G64" s="252">
        <v>200000</v>
      </c>
      <c r="H64" s="240" t="s">
        <v>273</v>
      </c>
      <c r="I64" s="256">
        <v>1</v>
      </c>
      <c r="J64" s="240"/>
      <c r="K64" s="242"/>
      <c r="L64" s="244"/>
      <c r="M64" s="244" t="s">
        <v>110</v>
      </c>
      <c r="N64" s="575">
        <f t="shared" ref="N64:N66" si="7">G64*I64</f>
        <v>200000</v>
      </c>
      <c r="O64" s="235"/>
      <c r="P64" s="235"/>
      <c r="Q64" s="235"/>
      <c r="R64" s="246"/>
    </row>
    <row r="65" spans="1:18" ht="14.45" customHeight="1">
      <c r="A65" s="224"/>
      <c r="B65" s="225"/>
      <c r="C65" s="226"/>
      <c r="D65" s="225"/>
      <c r="E65" s="226"/>
      <c r="F65" s="248" t="s">
        <v>2490</v>
      </c>
      <c r="G65" s="252">
        <v>33000</v>
      </c>
      <c r="H65" s="240" t="s">
        <v>273</v>
      </c>
      <c r="I65" s="242">
        <v>12</v>
      </c>
      <c r="J65" s="240"/>
      <c r="K65" s="242"/>
      <c r="L65" s="244"/>
      <c r="M65" s="244" t="s">
        <v>110</v>
      </c>
      <c r="N65" s="575">
        <f t="shared" si="7"/>
        <v>396000</v>
      </c>
      <c r="O65" s="235"/>
      <c r="P65" s="235"/>
      <c r="Q65" s="235"/>
      <c r="R65" s="246"/>
    </row>
    <row r="66" spans="1:18" ht="14.45" customHeight="1">
      <c r="A66" s="224"/>
      <c r="B66" s="225"/>
      <c r="C66" s="226"/>
      <c r="D66" s="225"/>
      <c r="E66" s="226"/>
      <c r="F66" s="248" t="s">
        <v>2491</v>
      </c>
      <c r="G66" s="252">
        <v>100000</v>
      </c>
      <c r="H66" s="240" t="s">
        <v>273</v>
      </c>
      <c r="I66" s="242">
        <v>12</v>
      </c>
      <c r="J66" s="240"/>
      <c r="K66" s="242"/>
      <c r="L66" s="244"/>
      <c r="M66" s="244" t="s">
        <v>110</v>
      </c>
      <c r="N66" s="575">
        <f t="shared" si="7"/>
        <v>1200000</v>
      </c>
      <c r="O66" s="235"/>
      <c r="P66" s="235"/>
      <c r="Q66" s="235"/>
      <c r="R66" s="246"/>
    </row>
    <row r="67" spans="1:18" ht="14.45" customHeight="1">
      <c r="A67" s="224"/>
      <c r="B67" s="225"/>
      <c r="C67" s="226"/>
      <c r="D67" s="225"/>
      <c r="E67" s="226"/>
      <c r="F67" s="499" t="s">
        <v>2493</v>
      </c>
      <c r="G67" s="239"/>
      <c r="H67" s="240"/>
      <c r="I67" s="241"/>
      <c r="J67" s="240"/>
      <c r="K67" s="242"/>
      <c r="L67" s="244"/>
      <c r="M67" s="244"/>
      <c r="N67" s="251">
        <f>SUM(N68)</f>
        <v>10800000</v>
      </c>
      <c r="O67" s="235"/>
      <c r="P67" s="235"/>
      <c r="Q67" s="235"/>
      <c r="R67" s="246"/>
    </row>
    <row r="68" spans="1:18" ht="14.45" customHeight="1">
      <c r="A68" s="224"/>
      <c r="B68" s="225"/>
      <c r="C68" s="226"/>
      <c r="D68" s="225"/>
      <c r="E68" s="226"/>
      <c r="F68" s="248" t="s">
        <v>2847</v>
      </c>
      <c r="G68" s="239">
        <v>450000</v>
      </c>
      <c r="H68" s="240" t="s">
        <v>273</v>
      </c>
      <c r="I68" s="241">
        <v>2</v>
      </c>
      <c r="J68" s="240" t="s">
        <v>109</v>
      </c>
      <c r="K68" s="242">
        <v>12</v>
      </c>
      <c r="L68" s="244"/>
      <c r="M68" s="244" t="s">
        <v>274</v>
      </c>
      <c r="N68" s="575">
        <f>G68*I68*K68</f>
        <v>10800000</v>
      </c>
      <c r="O68" s="235"/>
      <c r="P68" s="235"/>
      <c r="Q68" s="235"/>
      <c r="R68" s="246"/>
    </row>
    <row r="69" spans="1:18" ht="14.45" customHeight="1">
      <c r="A69" s="224"/>
      <c r="B69" s="225"/>
      <c r="C69" s="226"/>
      <c r="D69" s="225"/>
      <c r="E69" s="226"/>
      <c r="F69" s="499" t="s">
        <v>2494</v>
      </c>
      <c r="G69" s="273"/>
      <c r="H69" s="240"/>
      <c r="I69" s="242"/>
      <c r="J69" s="240"/>
      <c r="K69" s="242"/>
      <c r="L69" s="244"/>
      <c r="M69" s="244"/>
      <c r="N69" s="251">
        <f>SUM(N70:N71)</f>
        <v>2400000</v>
      </c>
      <c r="O69" s="235"/>
      <c r="P69" s="235"/>
      <c r="Q69" s="235"/>
      <c r="R69" s="246"/>
    </row>
    <row r="70" spans="1:18" ht="14.45" customHeight="1">
      <c r="A70" s="224"/>
      <c r="B70" s="225"/>
      <c r="C70" s="226"/>
      <c r="D70" s="225"/>
      <c r="E70" s="226"/>
      <c r="F70" s="248" t="s">
        <v>2848</v>
      </c>
      <c r="G70" s="273">
        <v>150000</v>
      </c>
      <c r="H70" s="240" t="s">
        <v>273</v>
      </c>
      <c r="I70" s="242">
        <v>12</v>
      </c>
      <c r="J70" s="240"/>
      <c r="K70" s="242"/>
      <c r="L70" s="244"/>
      <c r="M70" s="244" t="s">
        <v>274</v>
      </c>
      <c r="N70" s="575">
        <f>G70*I70</f>
        <v>1800000</v>
      </c>
      <c r="O70" s="235"/>
      <c r="P70" s="235"/>
      <c r="Q70" s="235"/>
      <c r="R70" s="246"/>
    </row>
    <row r="71" spans="1:18" ht="14.45" customHeight="1">
      <c r="A71" s="224"/>
      <c r="B71" s="225"/>
      <c r="C71" s="226"/>
      <c r="D71" s="225"/>
      <c r="E71" s="226"/>
      <c r="F71" s="248" t="s">
        <v>2849</v>
      </c>
      <c r="G71" s="273">
        <v>50000</v>
      </c>
      <c r="H71" s="240" t="s">
        <v>273</v>
      </c>
      <c r="I71" s="242">
        <v>12</v>
      </c>
      <c r="J71" s="240"/>
      <c r="K71" s="242"/>
      <c r="L71" s="244"/>
      <c r="M71" s="244" t="s">
        <v>274</v>
      </c>
      <c r="N71" s="575">
        <f>G71*I71</f>
        <v>600000</v>
      </c>
      <c r="O71" s="235"/>
      <c r="P71" s="235"/>
      <c r="Q71" s="235"/>
      <c r="R71" s="246"/>
    </row>
    <row r="72" spans="1:18" ht="14.45" customHeight="1">
      <c r="A72" s="224"/>
      <c r="B72" s="225"/>
      <c r="C72" s="226"/>
      <c r="D72" s="225"/>
      <c r="E72" s="226"/>
      <c r="F72" s="499" t="s">
        <v>2278</v>
      </c>
      <c r="G72" s="273"/>
      <c r="H72" s="240"/>
      <c r="I72" s="265"/>
      <c r="J72" s="240"/>
      <c r="K72" s="242"/>
      <c r="L72" s="244"/>
      <c r="M72" s="244"/>
      <c r="N72" s="251"/>
      <c r="O72" s="235"/>
      <c r="P72" s="235"/>
      <c r="Q72" s="235"/>
      <c r="R72" s="246"/>
    </row>
    <row r="73" spans="1:18" ht="14.45" customHeight="1">
      <c r="A73" s="224"/>
      <c r="B73" s="225"/>
      <c r="C73" s="226"/>
      <c r="D73" s="225"/>
      <c r="E73" s="226"/>
      <c r="F73" s="248" t="s">
        <v>2495</v>
      </c>
      <c r="G73" s="273"/>
      <c r="H73" s="240"/>
      <c r="I73" s="265"/>
      <c r="J73" s="240"/>
      <c r="K73" s="242"/>
      <c r="L73" s="244"/>
      <c r="M73" s="244"/>
      <c r="N73" s="251">
        <f>SUM(N74:N75)</f>
        <v>1200000</v>
      </c>
      <c r="O73" s="235"/>
      <c r="P73" s="235"/>
      <c r="Q73" s="235"/>
      <c r="R73" s="246"/>
    </row>
    <row r="74" spans="1:18" ht="14.45" customHeight="1">
      <c r="A74" s="224"/>
      <c r="B74" s="225"/>
      <c r="C74" s="226"/>
      <c r="D74" s="225"/>
      <c r="E74" s="226"/>
      <c r="F74" s="231" t="s">
        <v>2727</v>
      </c>
      <c r="G74" s="273">
        <v>200000</v>
      </c>
      <c r="H74" s="240" t="s">
        <v>273</v>
      </c>
      <c r="I74" s="256">
        <v>2</v>
      </c>
      <c r="J74" s="240" t="s">
        <v>273</v>
      </c>
      <c r="K74" s="1871">
        <v>2</v>
      </c>
      <c r="L74" s="244"/>
      <c r="M74" s="244" t="s">
        <v>274</v>
      </c>
      <c r="N74" s="575">
        <f>G74*I74*K74</f>
        <v>800000</v>
      </c>
      <c r="O74" s="235"/>
      <c r="P74" s="235"/>
      <c r="Q74" s="235"/>
      <c r="R74" s="246"/>
    </row>
    <row r="75" spans="1:18" ht="14.45" customHeight="1">
      <c r="A75" s="224"/>
      <c r="B75" s="225"/>
      <c r="C75" s="226"/>
      <c r="D75" s="225"/>
      <c r="E75" s="226"/>
      <c r="F75" s="231" t="s">
        <v>2839</v>
      </c>
      <c r="G75" s="273">
        <v>100000</v>
      </c>
      <c r="H75" s="240" t="s">
        <v>273</v>
      </c>
      <c r="I75" s="256">
        <v>2</v>
      </c>
      <c r="J75" s="240" t="s">
        <v>273</v>
      </c>
      <c r="K75" s="1871">
        <v>2</v>
      </c>
      <c r="L75" s="244"/>
      <c r="M75" s="244" t="s">
        <v>274</v>
      </c>
      <c r="N75" s="575">
        <f>G75*I75*K75</f>
        <v>400000</v>
      </c>
      <c r="O75" s="235"/>
      <c r="P75" s="235"/>
      <c r="Q75" s="235"/>
      <c r="R75" s="246"/>
    </row>
    <row r="76" spans="1:18" ht="14.45" customHeight="1">
      <c r="A76" s="224"/>
      <c r="B76" s="225"/>
      <c r="C76" s="226"/>
      <c r="D76" s="225"/>
      <c r="E76" s="226"/>
      <c r="F76" s="499" t="s">
        <v>2499</v>
      </c>
      <c r="G76" s="273"/>
      <c r="H76" s="240"/>
      <c r="I76" s="265"/>
      <c r="J76" s="240"/>
      <c r="K76" s="242"/>
      <c r="L76" s="244"/>
      <c r="M76" s="244"/>
      <c r="N76" s="251"/>
      <c r="O76" s="235"/>
      <c r="P76" s="235"/>
      <c r="Q76" s="235"/>
      <c r="R76" s="246"/>
    </row>
    <row r="77" spans="1:18" ht="14.45" customHeight="1">
      <c r="A77" s="224"/>
      <c r="B77" s="225"/>
      <c r="C77" s="226"/>
      <c r="D77" s="225"/>
      <c r="E77" s="226"/>
      <c r="F77" s="248" t="s">
        <v>2496</v>
      </c>
      <c r="G77" s="273"/>
      <c r="H77" s="240"/>
      <c r="I77" s="265"/>
      <c r="J77" s="240"/>
      <c r="K77" s="242"/>
      <c r="L77" s="244"/>
      <c r="M77" s="244"/>
      <c r="N77" s="251">
        <f>SUM(N78:N80)</f>
        <v>1300000</v>
      </c>
      <c r="O77" s="235"/>
      <c r="P77" s="235"/>
      <c r="Q77" s="235"/>
      <c r="R77" s="246"/>
    </row>
    <row r="78" spans="1:18" ht="14.45" customHeight="1">
      <c r="A78" s="224"/>
      <c r="B78" s="225"/>
      <c r="C78" s="226"/>
      <c r="D78" s="225"/>
      <c r="E78" s="226"/>
      <c r="F78" s="231" t="s">
        <v>2727</v>
      </c>
      <c r="G78" s="273">
        <v>100000</v>
      </c>
      <c r="H78" s="240" t="s">
        <v>273</v>
      </c>
      <c r="I78" s="256">
        <v>2</v>
      </c>
      <c r="J78" s="240" t="s">
        <v>273</v>
      </c>
      <c r="K78" s="1871">
        <v>2</v>
      </c>
      <c r="L78" s="244"/>
      <c r="M78" s="244" t="s">
        <v>274</v>
      </c>
      <c r="N78" s="575">
        <f>G78*I78*K78</f>
        <v>400000</v>
      </c>
      <c r="O78" s="235"/>
      <c r="P78" s="235"/>
      <c r="Q78" s="235"/>
      <c r="R78" s="246"/>
    </row>
    <row r="79" spans="1:18" ht="14.45" customHeight="1">
      <c r="A79" s="224"/>
      <c r="B79" s="225"/>
      <c r="C79" s="226"/>
      <c r="D79" s="225"/>
      <c r="E79" s="226"/>
      <c r="F79" s="231" t="s">
        <v>2840</v>
      </c>
      <c r="G79" s="273">
        <v>400000</v>
      </c>
      <c r="H79" s="240" t="s">
        <v>273</v>
      </c>
      <c r="I79" s="1871">
        <v>2</v>
      </c>
      <c r="J79" s="240"/>
      <c r="K79" s="1871"/>
      <c r="L79" s="244"/>
      <c r="M79" s="244" t="s">
        <v>274</v>
      </c>
      <c r="N79" s="575">
        <f>G79*I79</f>
        <v>800000</v>
      </c>
      <c r="O79" s="235"/>
      <c r="P79" s="235"/>
      <c r="Q79" s="235"/>
      <c r="R79" s="246"/>
    </row>
    <row r="80" spans="1:18" ht="14.45" customHeight="1">
      <c r="A80" s="224"/>
      <c r="B80" s="225"/>
      <c r="C80" s="226"/>
      <c r="D80" s="225"/>
      <c r="E80" s="226"/>
      <c r="F80" s="231" t="s">
        <v>2841</v>
      </c>
      <c r="G80" s="273">
        <v>50000</v>
      </c>
      <c r="H80" s="240" t="s">
        <v>273</v>
      </c>
      <c r="I80" s="256">
        <v>2</v>
      </c>
      <c r="J80" s="240"/>
      <c r="K80" s="1871"/>
      <c r="L80" s="244"/>
      <c r="M80" s="244" t="s">
        <v>274</v>
      </c>
      <c r="N80" s="575">
        <f>G80*I80</f>
        <v>100000</v>
      </c>
      <c r="O80" s="235"/>
      <c r="P80" s="235"/>
      <c r="Q80" s="235"/>
      <c r="R80" s="246"/>
    </row>
    <row r="81" spans="1:18" ht="14.45" customHeight="1">
      <c r="A81" s="224"/>
      <c r="B81" s="225"/>
      <c r="C81" s="226"/>
      <c r="D81" s="225"/>
      <c r="E81" s="226"/>
      <c r="F81" s="248" t="s">
        <v>2497</v>
      </c>
      <c r="G81" s="273"/>
      <c r="H81" s="240"/>
      <c r="I81" s="265"/>
      <c r="J81" s="240"/>
      <c r="K81" s="242"/>
      <c r="L81" s="244"/>
      <c r="M81" s="244"/>
      <c r="N81" s="251">
        <f>SUM(N82:N83)</f>
        <v>1200000</v>
      </c>
      <c r="O81" s="235"/>
      <c r="P81" s="235"/>
      <c r="Q81" s="235"/>
      <c r="R81" s="246"/>
    </row>
    <row r="82" spans="1:18" ht="14.45" customHeight="1">
      <c r="A82" s="224"/>
      <c r="B82" s="225"/>
      <c r="C82" s="226"/>
      <c r="D82" s="225"/>
      <c r="E82" s="226"/>
      <c r="F82" s="231" t="s">
        <v>2727</v>
      </c>
      <c r="G82" s="273">
        <v>200000</v>
      </c>
      <c r="H82" s="240" t="s">
        <v>273</v>
      </c>
      <c r="I82" s="256">
        <v>2</v>
      </c>
      <c r="J82" s="240" t="s">
        <v>273</v>
      </c>
      <c r="K82" s="1871">
        <v>2</v>
      </c>
      <c r="L82" s="244"/>
      <c r="M82" s="244" t="s">
        <v>274</v>
      </c>
      <c r="N82" s="575">
        <f>G82*I82*K82</f>
        <v>800000</v>
      </c>
      <c r="O82" s="235"/>
      <c r="P82" s="235"/>
      <c r="Q82" s="235"/>
      <c r="R82" s="246"/>
    </row>
    <row r="83" spans="1:18" ht="14.45" customHeight="1">
      <c r="A83" s="224"/>
      <c r="B83" s="225"/>
      <c r="C83" s="226"/>
      <c r="D83" s="225"/>
      <c r="E83" s="226"/>
      <c r="F83" s="231" t="s">
        <v>2840</v>
      </c>
      <c r="G83" s="273">
        <v>200000</v>
      </c>
      <c r="H83" s="240" t="s">
        <v>273</v>
      </c>
      <c r="I83" s="1871">
        <v>2</v>
      </c>
      <c r="J83" s="240"/>
      <c r="K83" s="242"/>
      <c r="L83" s="244"/>
      <c r="M83" s="244" t="s">
        <v>274</v>
      </c>
      <c r="N83" s="575">
        <f>G83*I83</f>
        <v>400000</v>
      </c>
      <c r="O83" s="235"/>
      <c r="P83" s="235"/>
      <c r="Q83" s="235"/>
      <c r="R83" s="246"/>
    </row>
    <row r="84" spans="1:18" ht="14.45" customHeight="1">
      <c r="A84" s="224"/>
      <c r="B84" s="225"/>
      <c r="C84" s="226"/>
      <c r="D84" s="225"/>
      <c r="E84" s="226"/>
      <c r="F84" s="248" t="s">
        <v>2498</v>
      </c>
      <c r="G84" s="273">
        <v>1300000</v>
      </c>
      <c r="H84" s="240" t="s">
        <v>273</v>
      </c>
      <c r="I84" s="265">
        <v>1</v>
      </c>
      <c r="J84" s="240"/>
      <c r="K84" s="242"/>
      <c r="L84" s="244"/>
      <c r="M84" s="244" t="s">
        <v>274</v>
      </c>
      <c r="N84" s="251">
        <f>SUM(N85:N87)</f>
        <v>1300000</v>
      </c>
      <c r="O84" s="235"/>
      <c r="P84" s="235"/>
      <c r="Q84" s="235"/>
      <c r="R84" s="246"/>
    </row>
    <row r="85" spans="1:18" ht="14.45" customHeight="1">
      <c r="A85" s="224"/>
      <c r="B85" s="225"/>
      <c r="C85" s="226"/>
      <c r="D85" s="225"/>
      <c r="E85" s="226"/>
      <c r="F85" s="231" t="s">
        <v>2727</v>
      </c>
      <c r="G85" s="273">
        <v>100000</v>
      </c>
      <c r="H85" s="240" t="s">
        <v>273</v>
      </c>
      <c r="I85" s="256">
        <v>2</v>
      </c>
      <c r="J85" s="240" t="s">
        <v>273</v>
      </c>
      <c r="K85" s="1871">
        <v>2</v>
      </c>
      <c r="L85" s="244"/>
      <c r="M85" s="244" t="s">
        <v>274</v>
      </c>
      <c r="N85" s="575">
        <f>G85*I85*K85</f>
        <v>400000</v>
      </c>
      <c r="O85" s="235"/>
      <c r="P85" s="235"/>
      <c r="Q85" s="235"/>
      <c r="R85" s="246"/>
    </row>
    <row r="86" spans="1:18" ht="14.45" customHeight="1">
      <c r="A86" s="224"/>
      <c r="B86" s="225"/>
      <c r="C86" s="226"/>
      <c r="D86" s="225"/>
      <c r="E86" s="226"/>
      <c r="F86" s="231" t="s">
        <v>2840</v>
      </c>
      <c r="G86" s="273">
        <v>400000</v>
      </c>
      <c r="H86" s="240" t="s">
        <v>273</v>
      </c>
      <c r="I86" s="1871">
        <v>2</v>
      </c>
      <c r="J86" s="240"/>
      <c r="K86" s="1871"/>
      <c r="L86" s="244"/>
      <c r="M86" s="244" t="s">
        <v>274</v>
      </c>
      <c r="N86" s="575">
        <f>G86*I86</f>
        <v>800000</v>
      </c>
      <c r="O86" s="235"/>
      <c r="P86" s="235"/>
      <c r="Q86" s="235"/>
      <c r="R86" s="246"/>
    </row>
    <row r="87" spans="1:18" ht="14.45" customHeight="1">
      <c r="A87" s="224"/>
      <c r="B87" s="225"/>
      <c r="C87" s="226"/>
      <c r="D87" s="225"/>
      <c r="E87" s="226"/>
      <c r="F87" s="231" t="s">
        <v>2841</v>
      </c>
      <c r="G87" s="273">
        <v>50000</v>
      </c>
      <c r="H87" s="240" t="s">
        <v>273</v>
      </c>
      <c r="I87" s="256">
        <v>2</v>
      </c>
      <c r="J87" s="240"/>
      <c r="K87" s="1871"/>
      <c r="L87" s="244"/>
      <c r="M87" s="244" t="s">
        <v>274</v>
      </c>
      <c r="N87" s="575">
        <f>G87*I87</f>
        <v>100000</v>
      </c>
      <c r="O87" s="235"/>
      <c r="P87" s="235"/>
      <c r="Q87" s="235"/>
      <c r="R87" s="246"/>
    </row>
    <row r="88" spans="1:18" ht="14.45" customHeight="1">
      <c r="A88" s="224"/>
      <c r="B88" s="225"/>
      <c r="C88" s="226"/>
      <c r="D88" s="225"/>
      <c r="E88" s="226"/>
      <c r="F88" s="499" t="s">
        <v>2504</v>
      </c>
      <c r="G88" s="273"/>
      <c r="H88" s="240"/>
      <c r="I88" s="265"/>
      <c r="J88" s="240"/>
      <c r="K88" s="242"/>
      <c r="L88" s="244"/>
      <c r="M88" s="244"/>
      <c r="N88" s="251"/>
      <c r="O88" s="235"/>
      <c r="P88" s="235"/>
      <c r="Q88" s="235"/>
      <c r="R88" s="246"/>
    </row>
    <row r="89" spans="1:18" ht="14.45" customHeight="1">
      <c r="A89" s="224"/>
      <c r="B89" s="225"/>
      <c r="C89" s="226"/>
      <c r="D89" s="225"/>
      <c r="E89" s="226"/>
      <c r="F89" s="248" t="s">
        <v>2500</v>
      </c>
      <c r="G89" s="273"/>
      <c r="H89" s="240"/>
      <c r="I89" s="265"/>
      <c r="J89" s="240"/>
      <c r="K89" s="242"/>
      <c r="L89" s="244"/>
      <c r="M89" s="244" t="s">
        <v>274</v>
      </c>
      <c r="N89" s="251">
        <f>SUM(N90:N92)</f>
        <v>2040000</v>
      </c>
      <c r="O89" s="235"/>
      <c r="P89" s="235"/>
      <c r="Q89" s="235"/>
      <c r="R89" s="246"/>
    </row>
    <row r="90" spans="1:18" ht="14.45" customHeight="1">
      <c r="A90" s="224"/>
      <c r="B90" s="225"/>
      <c r="C90" s="226"/>
      <c r="D90" s="225"/>
      <c r="E90" s="226"/>
      <c r="F90" s="231" t="s">
        <v>2721</v>
      </c>
      <c r="G90" s="273">
        <v>40000</v>
      </c>
      <c r="H90" s="240" t="s">
        <v>273</v>
      </c>
      <c r="I90" s="242">
        <v>12</v>
      </c>
      <c r="J90" s="240"/>
      <c r="K90" s="1871"/>
      <c r="L90" s="244"/>
      <c r="M90" s="244" t="s">
        <v>274</v>
      </c>
      <c r="N90" s="575">
        <f>G90*I90</f>
        <v>480000</v>
      </c>
      <c r="O90" s="235"/>
      <c r="P90" s="235"/>
      <c r="Q90" s="235"/>
      <c r="R90" s="246"/>
    </row>
    <row r="91" spans="1:18" ht="14.45" customHeight="1">
      <c r="A91" s="224"/>
      <c r="B91" s="225"/>
      <c r="C91" s="226"/>
      <c r="D91" s="225"/>
      <c r="E91" s="226"/>
      <c r="F91" s="231" t="s">
        <v>2842</v>
      </c>
      <c r="G91" s="273">
        <v>80000</v>
      </c>
      <c r="H91" s="240" t="s">
        <v>273</v>
      </c>
      <c r="I91" s="242">
        <v>12</v>
      </c>
      <c r="J91" s="240"/>
      <c r="K91" s="1871"/>
      <c r="L91" s="244"/>
      <c r="M91" s="244" t="s">
        <v>274</v>
      </c>
      <c r="N91" s="575">
        <f>G91*I91</f>
        <v>960000</v>
      </c>
      <c r="O91" s="235"/>
      <c r="P91" s="235"/>
      <c r="Q91" s="235"/>
      <c r="R91" s="246"/>
    </row>
    <row r="92" spans="1:18" ht="14.45" customHeight="1">
      <c r="A92" s="224"/>
      <c r="B92" s="225"/>
      <c r="C92" s="226"/>
      <c r="D92" s="225"/>
      <c r="E92" s="226"/>
      <c r="F92" s="231" t="s">
        <v>2843</v>
      </c>
      <c r="G92" s="273">
        <v>50000</v>
      </c>
      <c r="H92" s="240" t="s">
        <v>273</v>
      </c>
      <c r="I92" s="242">
        <v>12</v>
      </c>
      <c r="J92" s="240"/>
      <c r="K92" s="1871"/>
      <c r="L92" s="244"/>
      <c r="M92" s="244" t="s">
        <v>274</v>
      </c>
      <c r="N92" s="575">
        <f>G92*I92</f>
        <v>600000</v>
      </c>
      <c r="O92" s="235"/>
      <c r="P92" s="235"/>
      <c r="Q92" s="235"/>
      <c r="R92" s="246"/>
    </row>
    <row r="93" spans="1:18" ht="14.45" customHeight="1">
      <c r="A93" s="224"/>
      <c r="B93" s="225"/>
      <c r="C93" s="226"/>
      <c r="D93" s="225"/>
      <c r="E93" s="226"/>
      <c r="F93" s="248" t="s">
        <v>2501</v>
      </c>
      <c r="G93" s="273"/>
      <c r="H93" s="240"/>
      <c r="I93" s="265"/>
      <c r="J93" s="240"/>
      <c r="K93" s="242"/>
      <c r="L93" s="244"/>
      <c r="M93" s="244"/>
      <c r="N93" s="251">
        <f>SUM(N94:N96)</f>
        <v>1800000</v>
      </c>
      <c r="O93" s="235"/>
      <c r="P93" s="235"/>
      <c r="Q93" s="235"/>
      <c r="R93" s="246"/>
    </row>
    <row r="94" spans="1:18" ht="14.45" customHeight="1">
      <c r="A94" s="224"/>
      <c r="B94" s="225"/>
      <c r="C94" s="226"/>
      <c r="D94" s="225"/>
      <c r="E94" s="226"/>
      <c r="F94" s="231" t="s">
        <v>2721</v>
      </c>
      <c r="G94" s="273">
        <v>20000</v>
      </c>
      <c r="H94" s="240" t="s">
        <v>273</v>
      </c>
      <c r="I94" s="242">
        <v>12</v>
      </c>
      <c r="J94" s="240"/>
      <c r="K94" s="1871"/>
      <c r="L94" s="244"/>
      <c r="M94" s="244" t="s">
        <v>274</v>
      </c>
      <c r="N94" s="575">
        <f>G94*I94</f>
        <v>240000</v>
      </c>
      <c r="O94" s="235"/>
      <c r="P94" s="235"/>
      <c r="Q94" s="235"/>
      <c r="R94" s="246"/>
    </row>
    <row r="95" spans="1:18" ht="14.45" customHeight="1">
      <c r="A95" s="224"/>
      <c r="B95" s="225"/>
      <c r="C95" s="226"/>
      <c r="D95" s="225"/>
      <c r="E95" s="226"/>
      <c r="F95" s="231" t="s">
        <v>2844</v>
      </c>
      <c r="G95" s="273">
        <v>80000</v>
      </c>
      <c r="H95" s="240" t="s">
        <v>273</v>
      </c>
      <c r="I95" s="242">
        <v>12</v>
      </c>
      <c r="J95" s="240"/>
      <c r="K95" s="1871"/>
      <c r="L95" s="244"/>
      <c r="M95" s="244" t="s">
        <v>274</v>
      </c>
      <c r="N95" s="575">
        <f>G95*I95</f>
        <v>960000</v>
      </c>
      <c r="O95" s="235"/>
      <c r="P95" s="235"/>
      <c r="Q95" s="235"/>
      <c r="R95" s="246"/>
    </row>
    <row r="96" spans="1:18" ht="14.45" customHeight="1">
      <c r="A96" s="224"/>
      <c r="B96" s="225"/>
      <c r="C96" s="226"/>
      <c r="D96" s="225"/>
      <c r="E96" s="226"/>
      <c r="F96" s="231" t="s">
        <v>2700</v>
      </c>
      <c r="G96" s="273">
        <v>50000</v>
      </c>
      <c r="H96" s="240" t="s">
        <v>273</v>
      </c>
      <c r="I96" s="242">
        <v>12</v>
      </c>
      <c r="J96" s="240"/>
      <c r="K96" s="1871"/>
      <c r="L96" s="244"/>
      <c r="M96" s="244" t="s">
        <v>274</v>
      </c>
      <c r="N96" s="575">
        <f>G96*I96</f>
        <v>600000</v>
      </c>
      <c r="O96" s="235"/>
      <c r="P96" s="235"/>
      <c r="Q96" s="235"/>
      <c r="R96" s="246"/>
    </row>
    <row r="97" spans="1:18" ht="14.45" customHeight="1">
      <c r="A97" s="224"/>
      <c r="B97" s="225"/>
      <c r="C97" s="226"/>
      <c r="D97" s="225"/>
      <c r="E97" s="226"/>
      <c r="F97" s="248" t="s">
        <v>2502</v>
      </c>
      <c r="G97" s="273"/>
      <c r="H97" s="240"/>
      <c r="I97" s="265"/>
      <c r="J97" s="240"/>
      <c r="K97" s="242"/>
      <c r="L97" s="244"/>
      <c r="M97" s="244"/>
      <c r="N97" s="251">
        <f>SUM(N98:N100)</f>
        <v>1240000</v>
      </c>
      <c r="O97" s="235"/>
      <c r="P97" s="235"/>
      <c r="Q97" s="235"/>
      <c r="R97" s="246"/>
    </row>
    <row r="98" spans="1:18" ht="14.45" customHeight="1">
      <c r="A98" s="224"/>
      <c r="B98" s="225"/>
      <c r="C98" s="226"/>
      <c r="D98" s="225"/>
      <c r="E98" s="226"/>
      <c r="F98" s="231" t="s">
        <v>2721</v>
      </c>
      <c r="G98" s="273">
        <v>40000</v>
      </c>
      <c r="H98" s="240" t="s">
        <v>273</v>
      </c>
      <c r="I98" s="242">
        <v>12</v>
      </c>
      <c r="J98" s="240"/>
      <c r="K98" s="1871"/>
      <c r="L98" s="244"/>
      <c r="M98" s="244" t="s">
        <v>274</v>
      </c>
      <c r="N98" s="575">
        <f>G98*I98</f>
        <v>480000</v>
      </c>
      <c r="O98" s="235"/>
      <c r="P98" s="235"/>
      <c r="Q98" s="235"/>
      <c r="R98" s="246"/>
    </row>
    <row r="99" spans="1:18" ht="14.45" customHeight="1">
      <c r="A99" s="224"/>
      <c r="B99" s="225"/>
      <c r="C99" s="226"/>
      <c r="D99" s="225"/>
      <c r="E99" s="226"/>
      <c r="F99" s="231" t="s">
        <v>2845</v>
      </c>
      <c r="G99" s="273">
        <v>100000</v>
      </c>
      <c r="H99" s="240" t="s">
        <v>273</v>
      </c>
      <c r="I99" s="1820">
        <v>4</v>
      </c>
      <c r="J99" s="240"/>
      <c r="K99" s="1871"/>
      <c r="L99" s="244"/>
      <c r="M99" s="244" t="s">
        <v>274</v>
      </c>
      <c r="N99" s="575">
        <f>G99*I99</f>
        <v>400000</v>
      </c>
      <c r="O99" s="235"/>
      <c r="P99" s="235"/>
      <c r="Q99" s="235"/>
      <c r="R99" s="246"/>
    </row>
    <row r="100" spans="1:18" ht="14.45" customHeight="1">
      <c r="A100" s="224"/>
      <c r="B100" s="225"/>
      <c r="C100" s="226"/>
      <c r="D100" s="225"/>
      <c r="E100" s="226"/>
      <c r="F100" s="231" t="s">
        <v>2843</v>
      </c>
      <c r="G100" s="273">
        <v>30000</v>
      </c>
      <c r="H100" s="240" t="s">
        <v>273</v>
      </c>
      <c r="I100" s="242">
        <v>12</v>
      </c>
      <c r="J100" s="240"/>
      <c r="K100" s="1871"/>
      <c r="L100" s="244"/>
      <c r="M100" s="244" t="s">
        <v>274</v>
      </c>
      <c r="N100" s="575">
        <f>G100*I100</f>
        <v>360000</v>
      </c>
      <c r="O100" s="235"/>
      <c r="P100" s="235"/>
      <c r="Q100" s="235"/>
      <c r="R100" s="246"/>
    </row>
    <row r="101" spans="1:18" ht="14.45" customHeight="1">
      <c r="A101" s="224"/>
      <c r="B101" s="225"/>
      <c r="C101" s="226"/>
      <c r="D101" s="225"/>
      <c r="E101" s="226"/>
      <c r="F101" s="248" t="s">
        <v>2503</v>
      </c>
      <c r="G101" s="272"/>
      <c r="H101" s="240"/>
      <c r="I101" s="265"/>
      <c r="J101" s="240"/>
      <c r="K101" s="242"/>
      <c r="L101" s="244"/>
      <c r="M101" s="244"/>
      <c r="N101" s="251">
        <f>SUM(N102:N105)</f>
        <v>2500000</v>
      </c>
      <c r="O101" s="235"/>
      <c r="P101" s="235"/>
      <c r="Q101" s="235"/>
      <c r="R101" s="246"/>
    </row>
    <row r="102" spans="1:18" ht="14.45" customHeight="1">
      <c r="A102" s="224"/>
      <c r="B102" s="225"/>
      <c r="C102" s="226"/>
      <c r="D102" s="225"/>
      <c r="E102" s="226"/>
      <c r="F102" s="231" t="s">
        <v>2721</v>
      </c>
      <c r="G102" s="273">
        <v>30000</v>
      </c>
      <c r="H102" s="240" t="s">
        <v>273</v>
      </c>
      <c r="I102" s="242">
        <v>10</v>
      </c>
      <c r="J102" s="240"/>
      <c r="K102" s="1871"/>
      <c r="L102" s="244"/>
      <c r="M102" s="244" t="s">
        <v>274</v>
      </c>
      <c r="N102" s="575">
        <f>G102*I102</f>
        <v>300000</v>
      </c>
      <c r="O102" s="235"/>
      <c r="P102" s="235"/>
      <c r="Q102" s="235"/>
      <c r="R102" s="246"/>
    </row>
    <row r="103" spans="1:18" ht="14.45" customHeight="1">
      <c r="A103" s="224"/>
      <c r="B103" s="225"/>
      <c r="C103" s="226"/>
      <c r="D103" s="225"/>
      <c r="E103" s="226"/>
      <c r="F103" s="231" t="s">
        <v>2845</v>
      </c>
      <c r="G103" s="273">
        <v>100000</v>
      </c>
      <c r="H103" s="240" t="s">
        <v>273</v>
      </c>
      <c r="I103" s="242">
        <v>6</v>
      </c>
      <c r="J103" s="240"/>
      <c r="K103" s="1871"/>
      <c r="L103" s="244"/>
      <c r="M103" s="244" t="s">
        <v>274</v>
      </c>
      <c r="N103" s="575">
        <f>G103*I103</f>
        <v>600000</v>
      </c>
      <c r="O103" s="235"/>
      <c r="P103" s="235"/>
      <c r="Q103" s="235"/>
      <c r="R103" s="246"/>
    </row>
    <row r="104" spans="1:18" ht="14.45" customHeight="1">
      <c r="A104" s="224"/>
      <c r="B104" s="225"/>
      <c r="C104" s="226"/>
      <c r="D104" s="225"/>
      <c r="E104" s="226"/>
      <c r="F104" s="231" t="s">
        <v>2846</v>
      </c>
      <c r="G104" s="273">
        <v>600000</v>
      </c>
      <c r="H104" s="240" t="s">
        <v>273</v>
      </c>
      <c r="I104" s="256">
        <v>2</v>
      </c>
      <c r="J104" s="240"/>
      <c r="K104" s="1871"/>
      <c r="L104" s="244"/>
      <c r="M104" s="244" t="s">
        <v>274</v>
      </c>
      <c r="N104" s="575">
        <f>G104*I104</f>
        <v>1200000</v>
      </c>
      <c r="O104" s="235"/>
      <c r="P104" s="235"/>
      <c r="Q104" s="235"/>
      <c r="R104" s="246"/>
    </row>
    <row r="105" spans="1:18" ht="14.45" customHeight="1">
      <c r="A105" s="224"/>
      <c r="B105" s="225"/>
      <c r="C105" s="226"/>
      <c r="D105" s="225"/>
      <c r="E105" s="226"/>
      <c r="F105" s="231" t="s">
        <v>2743</v>
      </c>
      <c r="G105" s="273">
        <v>200000</v>
      </c>
      <c r="H105" s="240" t="s">
        <v>273</v>
      </c>
      <c r="I105" s="1820">
        <v>2</v>
      </c>
      <c r="J105" s="240"/>
      <c r="K105" s="1871"/>
      <c r="L105" s="244"/>
      <c r="M105" s="244" t="s">
        <v>274</v>
      </c>
      <c r="N105" s="575">
        <f>G105*I105</f>
        <v>400000</v>
      </c>
      <c r="O105" s="235"/>
      <c r="P105" s="235"/>
      <c r="Q105" s="235"/>
      <c r="R105" s="246"/>
    </row>
    <row r="106" spans="1:18" ht="14.45" customHeight="1">
      <c r="A106" s="224"/>
      <c r="B106" s="225"/>
      <c r="C106" s="226"/>
      <c r="D106" s="225"/>
      <c r="E106" s="247"/>
      <c r="F106" s="499" t="s">
        <v>2279</v>
      </c>
      <c r="G106" s="273"/>
      <c r="H106" s="240"/>
      <c r="I106" s="265"/>
      <c r="J106" s="240"/>
      <c r="K106" s="242"/>
      <c r="L106" s="244"/>
      <c r="M106" s="244"/>
      <c r="N106" s="251">
        <f>SUM(N107:N109)</f>
        <v>1250000</v>
      </c>
      <c r="O106" s="235"/>
      <c r="P106" s="235"/>
      <c r="Q106" s="235"/>
      <c r="R106" s="246"/>
    </row>
    <row r="107" spans="1:18" ht="14.45" customHeight="1">
      <c r="A107" s="224"/>
      <c r="B107" s="225"/>
      <c r="C107" s="226"/>
      <c r="D107" s="225"/>
      <c r="E107" s="247"/>
      <c r="F107" s="231" t="s">
        <v>2850</v>
      </c>
      <c r="G107" s="273">
        <v>100000</v>
      </c>
      <c r="H107" s="240" t="s">
        <v>273</v>
      </c>
      <c r="I107" s="256">
        <v>5</v>
      </c>
      <c r="J107" s="240"/>
      <c r="K107" s="242"/>
      <c r="L107" s="244"/>
      <c r="M107" s="244" t="s">
        <v>274</v>
      </c>
      <c r="N107" s="575">
        <f>G107*I107</f>
        <v>500000</v>
      </c>
      <c r="O107" s="235"/>
      <c r="P107" s="235"/>
      <c r="Q107" s="235"/>
      <c r="R107" s="246"/>
    </row>
    <row r="108" spans="1:18" ht="14.45" customHeight="1">
      <c r="A108" s="224"/>
      <c r="B108" s="225"/>
      <c r="C108" s="226"/>
      <c r="D108" s="225"/>
      <c r="E108" s="247"/>
      <c r="F108" s="231" t="s">
        <v>2851</v>
      </c>
      <c r="G108" s="273">
        <v>50000</v>
      </c>
      <c r="H108" s="240" t="s">
        <v>273</v>
      </c>
      <c r="I108" s="256">
        <v>5</v>
      </c>
      <c r="J108" s="240"/>
      <c r="K108" s="242"/>
      <c r="L108" s="244"/>
      <c r="M108" s="244" t="s">
        <v>274</v>
      </c>
      <c r="N108" s="575">
        <f>G108*I108</f>
        <v>250000</v>
      </c>
      <c r="O108" s="235"/>
      <c r="P108" s="235"/>
      <c r="Q108" s="235"/>
      <c r="R108" s="246"/>
    </row>
    <row r="109" spans="1:18" ht="14.45" customHeight="1">
      <c r="A109" s="224"/>
      <c r="B109" s="225"/>
      <c r="C109" s="226"/>
      <c r="D109" s="225"/>
      <c r="E109" s="247"/>
      <c r="F109" s="231" t="s">
        <v>2852</v>
      </c>
      <c r="G109" s="273">
        <v>100000</v>
      </c>
      <c r="H109" s="240" t="s">
        <v>1639</v>
      </c>
      <c r="I109" s="256">
        <v>5</v>
      </c>
      <c r="J109" s="240"/>
      <c r="K109" s="242"/>
      <c r="L109" s="244"/>
      <c r="M109" s="244" t="s">
        <v>274</v>
      </c>
      <c r="N109" s="575">
        <f>G109*I109</f>
        <v>500000</v>
      </c>
      <c r="O109" s="235"/>
      <c r="P109" s="235"/>
      <c r="Q109" s="235"/>
      <c r="R109" s="246"/>
    </row>
    <row r="110" spans="1:18" ht="14.45" customHeight="1">
      <c r="A110" s="224"/>
      <c r="B110" s="225"/>
      <c r="C110" s="226"/>
      <c r="D110" s="225"/>
      <c r="E110" s="226"/>
      <c r="F110" s="499" t="s">
        <v>2280</v>
      </c>
      <c r="G110" s="272"/>
      <c r="H110" s="240"/>
      <c r="I110" s="265"/>
      <c r="J110" s="240"/>
      <c r="K110" s="242"/>
      <c r="L110" s="244"/>
      <c r="M110" s="244"/>
      <c r="N110" s="251">
        <f>SUM(N111:N113)</f>
        <v>1000000</v>
      </c>
      <c r="O110" s="235"/>
      <c r="P110" s="235"/>
      <c r="Q110" s="235"/>
      <c r="R110" s="246"/>
    </row>
    <row r="111" spans="1:18" ht="14.45" customHeight="1">
      <c r="A111" s="224"/>
      <c r="B111" s="225"/>
      <c r="C111" s="226"/>
      <c r="D111" s="225"/>
      <c r="E111" s="226"/>
      <c r="F111" s="231" t="s">
        <v>2850</v>
      </c>
      <c r="G111" s="273">
        <v>100000</v>
      </c>
      <c r="H111" s="240" t="s">
        <v>273</v>
      </c>
      <c r="I111" s="256">
        <v>5</v>
      </c>
      <c r="J111" s="240"/>
      <c r="K111" s="242"/>
      <c r="L111" s="244"/>
      <c r="M111" s="244" t="s">
        <v>274</v>
      </c>
      <c r="N111" s="575">
        <f>G111*I111</f>
        <v>500000</v>
      </c>
      <c r="O111" s="235"/>
      <c r="P111" s="235"/>
      <c r="Q111" s="235"/>
      <c r="R111" s="246"/>
    </row>
    <row r="112" spans="1:18" ht="14.45" customHeight="1">
      <c r="A112" s="224"/>
      <c r="B112" s="225"/>
      <c r="C112" s="226"/>
      <c r="D112" s="225"/>
      <c r="E112" s="226"/>
      <c r="F112" s="231" t="s">
        <v>2851</v>
      </c>
      <c r="G112" s="273">
        <v>50000</v>
      </c>
      <c r="H112" s="240" t="s">
        <v>273</v>
      </c>
      <c r="I112" s="256">
        <v>5</v>
      </c>
      <c r="J112" s="240"/>
      <c r="K112" s="242"/>
      <c r="L112" s="244"/>
      <c r="M112" s="244" t="s">
        <v>274</v>
      </c>
      <c r="N112" s="575">
        <f>G112*I112</f>
        <v>250000</v>
      </c>
      <c r="O112" s="235"/>
      <c r="P112" s="235"/>
      <c r="Q112" s="235"/>
      <c r="R112" s="246"/>
    </row>
    <row r="113" spans="1:22" ht="14.45" customHeight="1">
      <c r="A113" s="224"/>
      <c r="B113" s="225"/>
      <c r="C113" s="226"/>
      <c r="D113" s="225"/>
      <c r="E113" s="226"/>
      <c r="F113" s="231" t="s">
        <v>2852</v>
      </c>
      <c r="G113" s="273">
        <v>50000</v>
      </c>
      <c r="H113" s="240" t="s">
        <v>1639</v>
      </c>
      <c r="I113" s="256">
        <v>5</v>
      </c>
      <c r="J113" s="240"/>
      <c r="K113" s="242"/>
      <c r="L113" s="244"/>
      <c r="M113" s="244" t="s">
        <v>274</v>
      </c>
      <c r="N113" s="575">
        <f>G113*I113</f>
        <v>250000</v>
      </c>
      <c r="O113" s="235"/>
      <c r="P113" s="235"/>
      <c r="Q113" s="235"/>
      <c r="R113" s="246"/>
    </row>
    <row r="114" spans="1:22" ht="14.45" customHeight="1">
      <c r="A114" s="224"/>
      <c r="B114" s="225"/>
      <c r="C114" s="226"/>
      <c r="D114" s="225"/>
      <c r="E114" s="226"/>
      <c r="F114" s="499" t="s">
        <v>2507</v>
      </c>
      <c r="G114" s="273"/>
      <c r="H114" s="240"/>
      <c r="I114" s="242"/>
      <c r="J114" s="240"/>
      <c r="K114" s="242"/>
      <c r="L114" s="244"/>
      <c r="M114" s="244"/>
      <c r="N114" s="251">
        <f>SUM(N115:N116)</f>
        <v>1200000</v>
      </c>
      <c r="O114" s="235"/>
      <c r="P114" s="235"/>
      <c r="Q114" s="235"/>
      <c r="R114" s="246"/>
    </row>
    <row r="115" spans="1:22" ht="14.45" customHeight="1">
      <c r="A115" s="224"/>
      <c r="B115" s="225"/>
      <c r="C115" s="226"/>
      <c r="D115" s="225"/>
      <c r="E115" s="226"/>
      <c r="F115" s="248" t="s">
        <v>2505</v>
      </c>
      <c r="G115" s="273">
        <v>50000</v>
      </c>
      <c r="H115" s="240" t="s">
        <v>273</v>
      </c>
      <c r="I115" s="242">
        <v>12</v>
      </c>
      <c r="J115" s="240"/>
      <c r="K115" s="242"/>
      <c r="L115" s="244"/>
      <c r="M115" s="244" t="s">
        <v>281</v>
      </c>
      <c r="N115" s="575">
        <f t="shared" ref="N115:N116" si="8">G115*I115</f>
        <v>600000</v>
      </c>
      <c r="O115" s="235"/>
      <c r="P115" s="235"/>
      <c r="Q115" s="235"/>
      <c r="R115" s="246"/>
    </row>
    <row r="116" spans="1:22" ht="14.45" customHeight="1">
      <c r="A116" s="224"/>
      <c r="B116" s="225"/>
      <c r="C116" s="226"/>
      <c r="D116" s="225"/>
      <c r="E116" s="226"/>
      <c r="F116" s="248" t="s">
        <v>2506</v>
      </c>
      <c r="G116" s="273">
        <v>50000</v>
      </c>
      <c r="H116" s="240" t="s">
        <v>273</v>
      </c>
      <c r="I116" s="242">
        <v>12</v>
      </c>
      <c r="J116" s="240"/>
      <c r="K116" s="242"/>
      <c r="L116" s="244"/>
      <c r="M116" s="244" t="s">
        <v>281</v>
      </c>
      <c r="N116" s="575">
        <f t="shared" si="8"/>
        <v>600000</v>
      </c>
      <c r="O116" s="235"/>
      <c r="P116" s="235"/>
      <c r="Q116" s="235"/>
      <c r="R116" s="246"/>
    </row>
    <row r="117" spans="1:22" ht="14.45" customHeight="1">
      <c r="A117" s="224"/>
      <c r="B117" s="222"/>
      <c r="C117" s="517" t="s">
        <v>2318</v>
      </c>
      <c r="D117" s="518"/>
      <c r="E117" s="214"/>
      <c r="F117" s="215"/>
      <c r="G117" s="216"/>
      <c r="H117" s="217"/>
      <c r="I117" s="217"/>
      <c r="J117" s="217"/>
      <c r="K117" s="217"/>
      <c r="L117" s="219"/>
      <c r="M117" s="219"/>
      <c r="N117" s="217"/>
      <c r="O117" s="220">
        <f>O118</f>
        <v>37028000</v>
      </c>
      <c r="P117" s="220">
        <f t="shared" ref="P117:Q117" si="9">P118</f>
        <v>34020000</v>
      </c>
      <c r="Q117" s="220">
        <f t="shared" si="9"/>
        <v>3008000</v>
      </c>
      <c r="R117" s="274">
        <f t="shared" si="6"/>
        <v>8.841857730746619E-2</v>
      </c>
      <c r="U117" s="195"/>
    </row>
    <row r="118" spans="1:22" ht="14.45" customHeight="1">
      <c r="A118" s="224"/>
      <c r="B118" s="222"/>
      <c r="C118" s="519"/>
      <c r="D118" s="572" t="s">
        <v>2319</v>
      </c>
      <c r="E118" s="84"/>
      <c r="F118" s="85"/>
      <c r="G118" s="86"/>
      <c r="H118" s="84"/>
      <c r="I118" s="84"/>
      <c r="J118" s="84"/>
      <c r="K118" s="84"/>
      <c r="L118" s="87"/>
      <c r="M118" s="87"/>
      <c r="N118" s="84"/>
      <c r="O118" s="76">
        <f>O119+O123+O130+O133+O134</f>
        <v>37028000</v>
      </c>
      <c r="P118" s="76">
        <f t="shared" ref="P118:Q118" si="10">P119+P123+P130+P133+P134</f>
        <v>34020000</v>
      </c>
      <c r="Q118" s="76">
        <f t="shared" si="10"/>
        <v>3008000</v>
      </c>
      <c r="R118" s="573">
        <f t="shared" ref="R118" si="11">Q118/P118</f>
        <v>8.841857730746619E-2</v>
      </c>
      <c r="U118" s="195"/>
    </row>
    <row r="119" spans="1:22" ht="14.45" customHeight="1">
      <c r="A119" s="224"/>
      <c r="B119" s="225"/>
      <c r="C119" s="226"/>
      <c r="D119" s="225"/>
      <c r="E119" s="66" t="s">
        <v>1542</v>
      </c>
      <c r="F119" s="227"/>
      <c r="G119" s="228"/>
      <c r="H119" s="66"/>
      <c r="I119" s="66"/>
      <c r="J119" s="66"/>
      <c r="K119" s="66"/>
      <c r="L119" s="230"/>
      <c r="M119" s="230"/>
      <c r="N119" s="66"/>
      <c r="O119" s="171">
        <f>N120</f>
        <v>14700000</v>
      </c>
      <c r="P119" s="171">
        <v>14400000</v>
      </c>
      <c r="Q119" s="171">
        <f>O119-P119</f>
        <v>300000</v>
      </c>
      <c r="R119" s="172">
        <f t="shared" si="6"/>
        <v>2.0833333333333332E-2</v>
      </c>
      <c r="U119" s="195"/>
    </row>
    <row r="120" spans="1:22" ht="14.45" customHeight="1">
      <c r="A120" s="224"/>
      <c r="B120" s="225"/>
      <c r="C120" s="226"/>
      <c r="D120" s="225"/>
      <c r="E120" s="226"/>
      <c r="F120" s="231" t="s">
        <v>1543</v>
      </c>
      <c r="G120" s="249"/>
      <c r="H120" s="240"/>
      <c r="I120" s="240"/>
      <c r="J120" s="240"/>
      <c r="K120" s="240"/>
      <c r="L120" s="244"/>
      <c r="M120" s="244"/>
      <c r="N120" s="251">
        <f>SUM(N121:N122)</f>
        <v>14700000</v>
      </c>
      <c r="O120" s="235"/>
      <c r="P120" s="235"/>
      <c r="Q120" s="235"/>
      <c r="R120" s="246"/>
      <c r="T120" s="196">
        <v>2018</v>
      </c>
      <c r="U120" s="195">
        <v>2017</v>
      </c>
    </row>
    <row r="121" spans="1:22" ht="14.45" customHeight="1">
      <c r="A121" s="224"/>
      <c r="B121" s="225"/>
      <c r="C121" s="226"/>
      <c r="D121" s="225"/>
      <c r="E121" s="237"/>
      <c r="F121" s="238" t="s">
        <v>732</v>
      </c>
      <c r="G121" s="272">
        <v>1000000</v>
      </c>
      <c r="H121" s="240" t="s">
        <v>277</v>
      </c>
      <c r="I121" s="242">
        <v>12</v>
      </c>
      <c r="J121" s="240"/>
      <c r="K121" s="242"/>
      <c r="L121" s="244"/>
      <c r="M121" s="244" t="s">
        <v>274</v>
      </c>
      <c r="N121" s="245">
        <f>ROUNDUP(G121*I121,-3)</f>
        <v>12000000</v>
      </c>
      <c r="O121" s="235"/>
      <c r="P121" s="235"/>
      <c r="Q121" s="235"/>
      <c r="R121" s="246"/>
      <c r="S121" s="196" t="s">
        <v>2133</v>
      </c>
      <c r="T121" s="236">
        <f>O123+O130+O133+O134</f>
        <v>22328000</v>
      </c>
      <c r="U121" s="236">
        <f>P123+P130+P133+P134</f>
        <v>19620000</v>
      </c>
    </row>
    <row r="122" spans="1:22" ht="14.45" customHeight="1">
      <c r="A122" s="224"/>
      <c r="B122" s="225"/>
      <c r="C122" s="226"/>
      <c r="D122" s="225"/>
      <c r="E122" s="247"/>
      <c r="F122" s="248" t="s">
        <v>1544</v>
      </c>
      <c r="G122" s="272">
        <v>225000</v>
      </c>
      <c r="H122" s="240" t="s">
        <v>277</v>
      </c>
      <c r="I122" s="242">
        <v>12</v>
      </c>
      <c r="J122" s="240"/>
      <c r="K122" s="242"/>
      <c r="L122" s="244"/>
      <c r="M122" s="244" t="s">
        <v>274</v>
      </c>
      <c r="N122" s="245">
        <f>ROUNDUP(G122*I122,-3)</f>
        <v>2700000</v>
      </c>
      <c r="O122" s="235"/>
      <c r="P122" s="235"/>
      <c r="Q122" s="235"/>
      <c r="R122" s="246"/>
      <c r="T122" s="195"/>
    </row>
    <row r="123" spans="1:22" ht="14.45" customHeight="1">
      <c r="A123" s="224"/>
      <c r="B123" s="225"/>
      <c r="C123" s="226"/>
      <c r="D123" s="225"/>
      <c r="E123" s="66" t="s">
        <v>433</v>
      </c>
      <c r="F123" s="227"/>
      <c r="G123" s="228"/>
      <c r="H123" s="66"/>
      <c r="I123" s="66"/>
      <c r="J123" s="66"/>
      <c r="K123" s="66"/>
      <c r="L123" s="230"/>
      <c r="M123" s="230"/>
      <c r="N123" s="66"/>
      <c r="O123" s="171">
        <f>ROUNDDOWN(N124,-3)</f>
        <v>4741000</v>
      </c>
      <c r="P123" s="171">
        <f>SUM(P124:P129)</f>
        <v>0</v>
      </c>
      <c r="Q123" s="171">
        <f>O123-P123</f>
        <v>4741000</v>
      </c>
      <c r="R123" s="172">
        <v>0</v>
      </c>
      <c r="U123" s="275"/>
    </row>
    <row r="124" spans="1:22" ht="14.45" customHeight="1">
      <c r="A124" s="224"/>
      <c r="B124" s="225"/>
      <c r="C124" s="226"/>
      <c r="D124" s="225"/>
      <c r="E124" s="226"/>
      <c r="F124" s="231" t="s">
        <v>656</v>
      </c>
      <c r="G124" s="249"/>
      <c r="H124" s="240"/>
      <c r="I124" s="240"/>
      <c r="J124" s="240"/>
      <c r="K124" s="240"/>
      <c r="L124" s="244"/>
      <c r="M124" s="244"/>
      <c r="N124" s="251">
        <f>SUM(N125:N129)</f>
        <v>4741000.4510000004</v>
      </c>
      <c r="O124" s="235"/>
      <c r="P124" s="235"/>
      <c r="Q124" s="235"/>
      <c r="R124" s="246"/>
      <c r="T124" s="276"/>
      <c r="U124" s="277"/>
    </row>
    <row r="125" spans="1:22" ht="14.45" customHeight="1">
      <c r="A125" s="224"/>
      <c r="B125" s="225"/>
      <c r="C125" s="226"/>
      <c r="D125" s="225"/>
      <c r="E125" s="237"/>
      <c r="F125" s="238" t="s">
        <v>1545</v>
      </c>
      <c r="G125" s="252">
        <v>47125735</v>
      </c>
      <c r="H125" s="240" t="s">
        <v>273</v>
      </c>
      <c r="I125" s="2004">
        <v>4.4999999999999998E-2</v>
      </c>
      <c r="J125" s="2004"/>
      <c r="K125" s="242"/>
      <c r="L125" s="244"/>
      <c r="M125" s="244" t="s">
        <v>274</v>
      </c>
      <c r="N125" s="245">
        <f>G125*I125</f>
        <v>2120658.0749999997</v>
      </c>
      <c r="O125" s="235"/>
      <c r="P125" s="235"/>
      <c r="Q125" s="235"/>
      <c r="R125" s="246"/>
      <c r="T125" s="276"/>
      <c r="U125" s="277"/>
    </row>
    <row r="126" spans="1:22" ht="14.45" customHeight="1">
      <c r="A126" s="224"/>
      <c r="B126" s="225"/>
      <c r="C126" s="226"/>
      <c r="D126" s="225"/>
      <c r="E126" s="247"/>
      <c r="F126" s="248" t="s">
        <v>518</v>
      </c>
      <c r="G126" s="252">
        <v>47125735</v>
      </c>
      <c r="H126" s="240" t="s">
        <v>273</v>
      </c>
      <c r="I126" s="2004">
        <v>3.0599999999999999E-2</v>
      </c>
      <c r="J126" s="2004"/>
      <c r="K126" s="242"/>
      <c r="L126" s="244"/>
      <c r="M126" s="244" t="s">
        <v>274</v>
      </c>
      <c r="N126" s="245">
        <f t="shared" ref="N126:N129" si="12">G126*I126</f>
        <v>1442047.4909999999</v>
      </c>
      <c r="O126" s="235"/>
      <c r="P126" s="235"/>
      <c r="Q126" s="235"/>
      <c r="R126" s="246"/>
      <c r="T126" s="276"/>
      <c r="U126" s="277"/>
      <c r="V126" s="275"/>
    </row>
    <row r="127" spans="1:22" ht="14.45" customHeight="1">
      <c r="A127" s="224"/>
      <c r="B127" s="225"/>
      <c r="C127" s="226"/>
      <c r="D127" s="225"/>
      <c r="E127" s="247"/>
      <c r="F127" s="248" t="s">
        <v>657</v>
      </c>
      <c r="G127" s="252">
        <v>1443580</v>
      </c>
      <c r="H127" s="240" t="s">
        <v>273</v>
      </c>
      <c r="I127" s="2004">
        <v>3.2750000000000001E-2</v>
      </c>
      <c r="J127" s="2004"/>
      <c r="K127" s="242"/>
      <c r="L127" s="244"/>
      <c r="M127" s="244" t="s">
        <v>274</v>
      </c>
      <c r="N127" s="245">
        <f t="shared" si="12"/>
        <v>47277.245000000003</v>
      </c>
      <c r="O127" s="235"/>
      <c r="P127" s="235"/>
      <c r="Q127" s="235"/>
      <c r="R127" s="246"/>
      <c r="T127" s="276"/>
      <c r="U127" s="277"/>
    </row>
    <row r="128" spans="1:22" ht="14.45" customHeight="1">
      <c r="A128" s="224"/>
      <c r="B128" s="225"/>
      <c r="C128" s="226"/>
      <c r="D128" s="225"/>
      <c r="E128" s="247"/>
      <c r="F128" s="248" t="s">
        <v>519</v>
      </c>
      <c r="G128" s="252">
        <v>47125735</v>
      </c>
      <c r="H128" s="240" t="s">
        <v>273</v>
      </c>
      <c r="I128" s="2004">
        <v>1.4999999999999999E-2</v>
      </c>
      <c r="J128" s="2004"/>
      <c r="K128" s="242"/>
      <c r="L128" s="244"/>
      <c r="M128" s="244" t="s">
        <v>274</v>
      </c>
      <c r="N128" s="245">
        <f t="shared" si="12"/>
        <v>706886.02500000002</v>
      </c>
      <c r="O128" s="235"/>
      <c r="P128" s="235"/>
      <c r="Q128" s="235"/>
      <c r="R128" s="246"/>
      <c r="T128" s="276"/>
      <c r="U128" s="277"/>
    </row>
    <row r="129" spans="1:22" ht="14.45" customHeight="1">
      <c r="A129" s="224"/>
      <c r="B129" s="225"/>
      <c r="C129" s="226"/>
      <c r="D129" s="225"/>
      <c r="E129" s="247"/>
      <c r="F129" s="248" t="s">
        <v>436</v>
      </c>
      <c r="G129" s="252">
        <v>47125735</v>
      </c>
      <c r="H129" s="240" t="s">
        <v>273</v>
      </c>
      <c r="I129" s="2004">
        <v>8.9999999999999993E-3</v>
      </c>
      <c r="J129" s="2004"/>
      <c r="K129" s="242"/>
      <c r="L129" s="244"/>
      <c r="M129" s="244" t="s">
        <v>274</v>
      </c>
      <c r="N129" s="245">
        <f t="shared" si="12"/>
        <v>424131.61499999999</v>
      </c>
      <c r="O129" s="235"/>
      <c r="P129" s="235"/>
      <c r="Q129" s="235"/>
      <c r="R129" s="246"/>
      <c r="U129" s="275"/>
      <c r="V129" s="275"/>
    </row>
    <row r="130" spans="1:22" ht="14.45" customHeight="1">
      <c r="A130" s="224"/>
      <c r="B130" s="225"/>
      <c r="C130" s="226"/>
      <c r="D130" s="225"/>
      <c r="E130" s="66" t="s">
        <v>442</v>
      </c>
      <c r="F130" s="227"/>
      <c r="G130" s="228"/>
      <c r="H130" s="66"/>
      <c r="I130" s="66"/>
      <c r="J130" s="66"/>
      <c r="K130" s="66"/>
      <c r="L130" s="230"/>
      <c r="M130" s="230"/>
      <c r="N130" s="66"/>
      <c r="O130" s="171">
        <f>N131</f>
        <v>2000000</v>
      </c>
      <c r="P130" s="171">
        <v>2220000</v>
      </c>
      <c r="Q130" s="171">
        <f>O130-P130</f>
        <v>-220000</v>
      </c>
      <c r="R130" s="172">
        <f t="shared" si="6"/>
        <v>-9.90990990990991E-2</v>
      </c>
    </row>
    <row r="131" spans="1:22" ht="14.45" customHeight="1">
      <c r="A131" s="224"/>
      <c r="B131" s="225"/>
      <c r="C131" s="226"/>
      <c r="D131" s="225"/>
      <c r="E131" s="226"/>
      <c r="F131" s="231" t="s">
        <v>1546</v>
      </c>
      <c r="G131" s="249"/>
      <c r="H131" s="240"/>
      <c r="I131" s="240"/>
      <c r="J131" s="240"/>
      <c r="K131" s="240"/>
      <c r="L131" s="244"/>
      <c r="M131" s="244"/>
      <c r="N131" s="251">
        <f>SUM(N132:N132)</f>
        <v>2000000</v>
      </c>
      <c r="O131" s="235"/>
      <c r="P131" s="235"/>
      <c r="Q131" s="235"/>
      <c r="R131" s="246"/>
      <c r="U131" s="277"/>
    </row>
    <row r="132" spans="1:22" ht="14.45" customHeight="1">
      <c r="A132" s="224"/>
      <c r="B132" s="225"/>
      <c r="C132" s="226"/>
      <c r="D132" s="225"/>
      <c r="E132" s="237"/>
      <c r="F132" s="238" t="s">
        <v>1547</v>
      </c>
      <c r="G132" s="252">
        <v>500000</v>
      </c>
      <c r="H132" s="240" t="s">
        <v>273</v>
      </c>
      <c r="I132" s="256">
        <v>4</v>
      </c>
      <c r="J132" s="240"/>
      <c r="K132" s="242"/>
      <c r="L132" s="244"/>
      <c r="M132" s="244" t="s">
        <v>274</v>
      </c>
      <c r="N132" s="245">
        <f>ROUNDUP(G132*I132,-3)</f>
        <v>2000000</v>
      </c>
      <c r="O132" s="235"/>
      <c r="P132" s="235"/>
      <c r="Q132" s="235"/>
      <c r="R132" s="246"/>
      <c r="U132" s="277"/>
    </row>
    <row r="133" spans="1:22" ht="14.45" customHeight="1">
      <c r="A133" s="224"/>
      <c r="B133" s="225"/>
      <c r="C133" s="226"/>
      <c r="D133" s="225"/>
      <c r="E133" s="66" t="s">
        <v>813</v>
      </c>
      <c r="F133" s="227"/>
      <c r="G133" s="228"/>
      <c r="H133" s="66"/>
      <c r="I133" s="66"/>
      <c r="J133" s="66"/>
      <c r="K133" s="66"/>
      <c r="L133" s="230"/>
      <c r="M133" s="230"/>
      <c r="N133" s="66"/>
      <c r="O133" s="171">
        <v>0</v>
      </c>
      <c r="P133" s="171">
        <v>600000</v>
      </c>
      <c r="Q133" s="171">
        <f>O133-P133</f>
        <v>-600000</v>
      </c>
      <c r="R133" s="172">
        <f t="shared" si="6"/>
        <v>-1</v>
      </c>
      <c r="U133" s="277"/>
    </row>
    <row r="134" spans="1:22" ht="14.45" customHeight="1">
      <c r="A134" s="224"/>
      <c r="B134" s="225"/>
      <c r="C134" s="226"/>
      <c r="D134" s="225"/>
      <c r="E134" s="66" t="s">
        <v>1548</v>
      </c>
      <c r="F134" s="227"/>
      <c r="G134" s="228"/>
      <c r="H134" s="66"/>
      <c r="I134" s="66"/>
      <c r="J134" s="66"/>
      <c r="K134" s="66"/>
      <c r="L134" s="230"/>
      <c r="M134" s="230"/>
      <c r="N134" s="66"/>
      <c r="O134" s="171">
        <f>N135</f>
        <v>15587000</v>
      </c>
      <c r="P134" s="171">
        <v>16800000</v>
      </c>
      <c r="Q134" s="171">
        <f>O134-P134</f>
        <v>-1213000</v>
      </c>
      <c r="R134" s="172">
        <f t="shared" si="6"/>
        <v>-7.2202380952380948E-2</v>
      </c>
      <c r="U134" s="277"/>
    </row>
    <row r="135" spans="1:22" ht="14.45" customHeight="1">
      <c r="A135" s="224"/>
      <c r="B135" s="225"/>
      <c r="C135" s="226"/>
      <c r="D135" s="225"/>
      <c r="E135" s="226"/>
      <c r="F135" s="231" t="s">
        <v>1549</v>
      </c>
      <c r="G135" s="249"/>
      <c r="H135" s="240"/>
      <c r="I135" s="240"/>
      <c r="J135" s="240"/>
      <c r="K135" s="240"/>
      <c r="L135" s="244"/>
      <c r="M135" s="244"/>
      <c r="N135" s="251">
        <f>SUM(N136:N136)</f>
        <v>15587000</v>
      </c>
      <c r="O135" s="235"/>
      <c r="P135" s="235"/>
      <c r="Q135" s="235"/>
      <c r="R135" s="246"/>
      <c r="U135" s="277"/>
    </row>
    <row r="136" spans="1:22" ht="14.45" customHeight="1">
      <c r="A136" s="224"/>
      <c r="B136" s="225"/>
      <c r="C136" s="279"/>
      <c r="D136" s="278"/>
      <c r="E136" s="280"/>
      <c r="F136" s="281" t="s">
        <v>1550</v>
      </c>
      <c r="G136" s="282">
        <v>1298916</v>
      </c>
      <c r="H136" s="283" t="s">
        <v>273</v>
      </c>
      <c r="I136" s="284">
        <v>12</v>
      </c>
      <c r="J136" s="283"/>
      <c r="K136" s="284"/>
      <c r="L136" s="285"/>
      <c r="M136" s="285" t="s">
        <v>283</v>
      </c>
      <c r="N136" s="286">
        <f>ROUNDUP(G136*I136,-3)</f>
        <v>15587000</v>
      </c>
      <c r="O136" s="287"/>
      <c r="P136" s="287"/>
      <c r="Q136" s="287"/>
      <c r="R136" s="288"/>
    </row>
    <row r="137" spans="1:22" ht="14.45" customHeight="1">
      <c r="A137" s="224"/>
      <c r="B137" s="225"/>
      <c r="C137" s="206" t="s">
        <v>1406</v>
      </c>
      <c r="D137" s="206"/>
      <c r="E137" s="206"/>
      <c r="F137" s="207"/>
      <c r="G137" s="208"/>
      <c r="H137" s="209"/>
      <c r="I137" s="209"/>
      <c r="J137" s="209"/>
      <c r="K137" s="209"/>
      <c r="L137" s="210"/>
      <c r="M137" s="210"/>
      <c r="N137" s="209"/>
      <c r="O137" s="211">
        <f>O138</f>
        <v>13000</v>
      </c>
      <c r="P137" s="211">
        <f>P138</f>
        <v>0</v>
      </c>
      <c r="Q137" s="211">
        <f>O137-P137</f>
        <v>13000</v>
      </c>
      <c r="R137" s="212">
        <v>1</v>
      </c>
    </row>
    <row r="138" spans="1:22" ht="14.45" customHeight="1">
      <c r="A138" s="224"/>
      <c r="B138" s="225"/>
      <c r="C138" s="213"/>
      <c r="D138" s="84" t="s">
        <v>1405</v>
      </c>
      <c r="E138" s="84"/>
      <c r="F138" s="85"/>
      <c r="G138" s="86"/>
      <c r="H138" s="84"/>
      <c r="I138" s="84"/>
      <c r="J138" s="84"/>
      <c r="K138" s="84"/>
      <c r="L138" s="87"/>
      <c r="M138" s="87"/>
      <c r="N138" s="84"/>
      <c r="O138" s="76">
        <f>O139</f>
        <v>13000</v>
      </c>
      <c r="P138" s="76">
        <f>P139</f>
        <v>0</v>
      </c>
      <c r="Q138" s="76">
        <f>O138-P138</f>
        <v>13000</v>
      </c>
      <c r="R138" s="77">
        <v>1</v>
      </c>
    </row>
    <row r="139" spans="1:22" ht="14.45" customHeight="1">
      <c r="A139" s="224"/>
      <c r="B139" s="225"/>
      <c r="C139" s="222"/>
      <c r="D139" s="213"/>
      <c r="E139" s="66" t="s">
        <v>1643</v>
      </c>
      <c r="F139" s="227"/>
      <c r="G139" s="228"/>
      <c r="H139" s="66"/>
      <c r="I139" s="66"/>
      <c r="J139" s="66"/>
      <c r="K139" s="66"/>
      <c r="L139" s="230"/>
      <c r="M139" s="230"/>
      <c r="N139" s="66"/>
      <c r="O139" s="171">
        <f>ROUNDUP(N140,-3)</f>
        <v>13000</v>
      </c>
      <c r="P139" s="171">
        <v>0</v>
      </c>
      <c r="Q139" s="171">
        <f>O139-P139</f>
        <v>13000</v>
      </c>
      <c r="R139" s="172">
        <v>1</v>
      </c>
    </row>
    <row r="140" spans="1:22" ht="14.45" customHeight="1">
      <c r="A140" s="224"/>
      <c r="B140" s="225"/>
      <c r="C140" s="222"/>
      <c r="D140" s="222"/>
      <c r="E140" s="427"/>
      <c r="F140" s="240" t="s">
        <v>1640</v>
      </c>
      <c r="G140" s="249"/>
      <c r="H140" s="240"/>
      <c r="I140" s="240"/>
      <c r="J140" s="240"/>
      <c r="K140" s="240"/>
      <c r="L140" s="244"/>
      <c r="M140" s="251"/>
      <c r="N140" s="251">
        <f>N141</f>
        <v>13000</v>
      </c>
      <c r="O140" s="428"/>
      <c r="P140" s="428"/>
      <c r="Q140" s="428"/>
      <c r="R140" s="429"/>
    </row>
    <row r="141" spans="1:22" ht="14.45" customHeight="1" thickBot="1">
      <c r="A141" s="425"/>
      <c r="B141" s="426"/>
      <c r="C141" s="430"/>
      <c r="D141" s="430"/>
      <c r="E141" s="431"/>
      <c r="F141" s="432" t="s">
        <v>928</v>
      </c>
      <c r="G141" s="433">
        <v>13000</v>
      </c>
      <c r="H141" s="434" t="s">
        <v>273</v>
      </c>
      <c r="I141" s="435">
        <v>1</v>
      </c>
      <c r="J141" s="434"/>
      <c r="K141" s="436"/>
      <c r="L141" s="437"/>
      <c r="M141" s="437" t="s">
        <v>925</v>
      </c>
      <c r="N141" s="438">
        <f>G141*I141</f>
        <v>13000</v>
      </c>
      <c r="O141" s="439"/>
      <c r="P141" s="439"/>
      <c r="Q141" s="439"/>
      <c r="R141" s="440"/>
    </row>
    <row r="142" spans="1:22" ht="14.45" customHeight="1"/>
    <row r="146" spans="11:14">
      <c r="N146" s="275"/>
    </row>
    <row r="147" spans="11:14">
      <c r="K147" s="275"/>
    </row>
    <row r="149" spans="11:14">
      <c r="N149" s="277"/>
    </row>
  </sheetData>
  <mergeCells count="14">
    <mergeCell ref="I129:J129"/>
    <mergeCell ref="A1:R1"/>
    <mergeCell ref="Q2:R2"/>
    <mergeCell ref="A3:E3"/>
    <mergeCell ref="G3:N4"/>
    <mergeCell ref="O3:O4"/>
    <mergeCell ref="P3:P4"/>
    <mergeCell ref="Q3:Q4"/>
    <mergeCell ref="R3:R4"/>
    <mergeCell ref="I30:J30"/>
    <mergeCell ref="I125:J125"/>
    <mergeCell ref="I126:J126"/>
    <mergeCell ref="I127:J127"/>
    <mergeCell ref="I128:J128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scale="80" firstPageNumber="101" fitToHeight="0" orientation="landscape" useFirstPageNumber="1" r:id="rId1"/>
  <headerFooter scaleWithDoc="0" alignWithMargins="0">
    <oddFooter>&amp;C&amp;P</oddFooter>
  </headerFooter>
  <rowBreaks count="2" manualBreakCount="2">
    <brk id="39" max="17" man="1"/>
    <brk id="87" max="17" man="1"/>
  </rowBreaks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3399FF"/>
    <pageSetUpPr fitToPage="1"/>
  </sheetPr>
  <dimension ref="A1:AB91"/>
  <sheetViews>
    <sheetView view="pageBreakPreview" zoomScale="85" zoomScaleNormal="85" zoomScaleSheetLayoutView="85" workbookViewId="0">
      <pane ySplit="8" topLeftCell="A69" activePane="bottomLeft" state="frozen"/>
      <selection activeCell="V20" sqref="V20"/>
      <selection pane="bottomLeft" activeCell="V20" sqref="V20"/>
    </sheetView>
  </sheetViews>
  <sheetFormatPr defaultColWidth="9" defaultRowHeight="13.5"/>
  <cols>
    <col min="1" max="1" width="3.625" style="196" customWidth="1"/>
    <col min="2" max="4" width="3.625" style="193" customWidth="1"/>
    <col min="5" max="5" width="10.625" style="193" customWidth="1"/>
    <col min="6" max="6" width="28.375" style="194" customWidth="1"/>
    <col min="7" max="7" width="12.5" style="195" bestFit="1" customWidth="1"/>
    <col min="8" max="8" width="2.125" style="196" customWidth="1"/>
    <col min="9" max="9" width="5" style="196" customWidth="1"/>
    <col min="10" max="10" width="2.125" style="196" customWidth="1"/>
    <col min="11" max="11" width="5.875" style="196" customWidth="1"/>
    <col min="12" max="12" width="2.625" style="197" customWidth="1"/>
    <col min="13" max="13" width="5.375" style="196" customWidth="1"/>
    <col min="14" max="14" width="2.75" style="198" customWidth="1"/>
    <col min="15" max="15" width="2.625" style="198" customWidth="1"/>
    <col min="16" max="16" width="13.625" style="196" customWidth="1"/>
    <col min="17" max="17" width="10.625" style="199" customWidth="1"/>
    <col min="18" max="19" width="10.625" style="200" customWidth="1"/>
    <col min="20" max="20" width="10.625" style="289" customWidth="1"/>
    <col min="21" max="21" width="10.25" style="196" bestFit="1" customWidth="1"/>
    <col min="22" max="22" width="9" style="502"/>
    <col min="23" max="24" width="9.875" style="502" bestFit="1" customWidth="1"/>
    <col min="25" max="16384" width="9" style="196"/>
  </cols>
  <sheetData>
    <row r="1" spans="1:26" s="192" customFormat="1" ht="35.1" customHeight="1">
      <c r="A1" s="1968" t="s">
        <v>350</v>
      </c>
      <c r="B1" s="1968"/>
      <c r="C1" s="1968"/>
      <c r="D1" s="1968"/>
      <c r="E1" s="1968"/>
      <c r="F1" s="1968"/>
      <c r="G1" s="1968"/>
      <c r="H1" s="1968"/>
      <c r="I1" s="1968"/>
      <c r="J1" s="1968"/>
      <c r="K1" s="1968"/>
      <c r="L1" s="1968"/>
      <c r="M1" s="1968"/>
      <c r="N1" s="1968"/>
      <c r="O1" s="1968"/>
      <c r="P1" s="1968"/>
      <c r="Q1" s="1968"/>
      <c r="R1" s="1968"/>
      <c r="S1" s="1968"/>
      <c r="T1" s="1968"/>
      <c r="V1" s="501"/>
      <c r="W1" s="501"/>
      <c r="X1" s="501"/>
    </row>
    <row r="2" spans="1:26" ht="15" customHeight="1" thickBot="1">
      <c r="A2" s="192" t="s">
        <v>351</v>
      </c>
      <c r="S2" s="1969" t="s">
        <v>352</v>
      </c>
      <c r="T2" s="1969"/>
    </row>
    <row r="3" spans="1:26" s="201" customFormat="1" ht="14.45" customHeight="1">
      <c r="A3" s="1990" t="s">
        <v>91</v>
      </c>
      <c r="B3" s="1939"/>
      <c r="C3" s="1939"/>
      <c r="D3" s="1939"/>
      <c r="E3" s="1939"/>
      <c r="F3" s="1753"/>
      <c r="G3" s="1972" t="s">
        <v>353</v>
      </c>
      <c r="H3" s="1972"/>
      <c r="I3" s="1972"/>
      <c r="J3" s="1972"/>
      <c r="K3" s="1972"/>
      <c r="L3" s="1972"/>
      <c r="M3" s="1972"/>
      <c r="N3" s="1972"/>
      <c r="O3" s="1972"/>
      <c r="P3" s="1973"/>
      <c r="Q3" s="1976" t="s">
        <v>496</v>
      </c>
      <c r="R3" s="1978" t="s">
        <v>1504</v>
      </c>
      <c r="S3" s="1980" t="s">
        <v>297</v>
      </c>
      <c r="T3" s="1982" t="s">
        <v>355</v>
      </c>
      <c r="V3" s="503"/>
      <c r="W3" s="503"/>
      <c r="X3" s="503"/>
    </row>
    <row r="4" spans="1:26" s="201" customFormat="1" ht="14.45" customHeight="1" thickBot="1">
      <c r="A4" s="1742" t="s">
        <v>97</v>
      </c>
      <c r="B4" s="1743" t="s">
        <v>98</v>
      </c>
      <c r="C4" s="1743" t="s">
        <v>99</v>
      </c>
      <c r="D4" s="1743" t="s">
        <v>100</v>
      </c>
      <c r="E4" s="1743" t="s">
        <v>101</v>
      </c>
      <c r="F4" s="1754" t="s">
        <v>102</v>
      </c>
      <c r="G4" s="1974"/>
      <c r="H4" s="1974"/>
      <c r="I4" s="1974"/>
      <c r="J4" s="1974"/>
      <c r="K4" s="1974"/>
      <c r="L4" s="1974"/>
      <c r="M4" s="1974"/>
      <c r="N4" s="1974"/>
      <c r="O4" s="1974"/>
      <c r="P4" s="1975"/>
      <c r="Q4" s="1977"/>
      <c r="R4" s="1979"/>
      <c r="S4" s="1981"/>
      <c r="T4" s="1983"/>
      <c r="V4" s="503"/>
      <c r="W4" s="503"/>
      <c r="X4" s="503"/>
    </row>
    <row r="5" spans="1:26" s="192" customFormat="1" ht="14.45" customHeight="1" thickBot="1">
      <c r="A5" s="68" t="s">
        <v>2515</v>
      </c>
      <c r="B5" s="69"/>
      <c r="C5" s="69"/>
      <c r="D5" s="69"/>
      <c r="E5" s="69"/>
      <c r="F5" s="70"/>
      <c r="G5" s="71"/>
      <c r="H5" s="72"/>
      <c r="I5" s="72"/>
      <c r="J5" s="72"/>
      <c r="K5" s="72"/>
      <c r="L5" s="73"/>
      <c r="M5" s="72"/>
      <c r="N5" s="74"/>
      <c r="O5" s="74"/>
      <c r="P5" s="72"/>
      <c r="Q5" s="75">
        <f>Q6</f>
        <v>85429000</v>
      </c>
      <c r="R5" s="75">
        <f>R6</f>
        <v>73750000</v>
      </c>
      <c r="S5" s="75">
        <f>Q5-R5</f>
        <v>11679000</v>
      </c>
      <c r="T5" s="290">
        <f>S5/R5</f>
        <v>0.1583593220338983</v>
      </c>
      <c r="V5" s="501"/>
      <c r="W5" s="501"/>
      <c r="X5" s="501"/>
    </row>
    <row r="6" spans="1:26" s="299" customFormat="1" ht="14.45" customHeight="1">
      <c r="A6" s="291"/>
      <c r="B6" s="292" t="s">
        <v>360</v>
      </c>
      <c r="C6" s="293"/>
      <c r="D6" s="293"/>
      <c r="E6" s="293"/>
      <c r="F6" s="293"/>
      <c r="G6" s="294"/>
      <c r="H6" s="295"/>
      <c r="I6" s="295"/>
      <c r="J6" s="295"/>
      <c r="K6" s="295"/>
      <c r="L6" s="296"/>
      <c r="M6" s="295"/>
      <c r="N6" s="297"/>
      <c r="O6" s="297"/>
      <c r="P6" s="295"/>
      <c r="Q6" s="211">
        <f>Q7+Q73+Q82</f>
        <v>85429000</v>
      </c>
      <c r="R6" s="211">
        <f>R7+R73+R82</f>
        <v>73750000</v>
      </c>
      <c r="S6" s="211">
        <f>Q6-R6</f>
        <v>11679000</v>
      </c>
      <c r="T6" s="298">
        <f t="shared" ref="T6:T7" si="0">S6/R6</f>
        <v>0.1583593220338983</v>
      </c>
      <c r="V6" s="504"/>
      <c r="W6" s="504"/>
      <c r="X6" s="504"/>
    </row>
    <row r="7" spans="1:26" s="299" customFormat="1" ht="14.45" customHeight="1">
      <c r="A7" s="291"/>
      <c r="B7" s="300"/>
      <c r="C7" s="301" t="s">
        <v>361</v>
      </c>
      <c r="D7" s="301"/>
      <c r="E7" s="301"/>
      <c r="F7" s="301"/>
      <c r="G7" s="302"/>
      <c r="H7" s="303"/>
      <c r="I7" s="303"/>
      <c r="J7" s="303"/>
      <c r="K7" s="303"/>
      <c r="L7" s="304"/>
      <c r="M7" s="303"/>
      <c r="N7" s="305"/>
      <c r="O7" s="305"/>
      <c r="P7" s="303"/>
      <c r="Q7" s="220">
        <f>Q8+Q22</f>
        <v>69415000</v>
      </c>
      <c r="R7" s="220">
        <f>R8+R22</f>
        <v>57750000</v>
      </c>
      <c r="S7" s="220">
        <f>Q7-R7</f>
        <v>11665000</v>
      </c>
      <c r="T7" s="306">
        <f t="shared" si="0"/>
        <v>0.201991341991342</v>
      </c>
      <c r="V7" s="504"/>
      <c r="W7" s="504"/>
      <c r="X7" s="504"/>
    </row>
    <row r="8" spans="1:26" s="299" customFormat="1" ht="14.45" customHeight="1">
      <c r="A8" s="291"/>
      <c r="B8" s="307"/>
      <c r="C8" s="308"/>
      <c r="D8" s="309" t="s">
        <v>801</v>
      </c>
      <c r="E8" s="310"/>
      <c r="F8" s="310"/>
      <c r="G8" s="311"/>
      <c r="H8" s="310"/>
      <c r="I8" s="310"/>
      <c r="J8" s="310"/>
      <c r="K8" s="310"/>
      <c r="L8" s="309"/>
      <c r="M8" s="310"/>
      <c r="N8" s="312"/>
      <c r="O8" s="312"/>
      <c r="P8" s="310"/>
      <c r="Q8" s="76">
        <f>SUM(Q9:Q21)</f>
        <v>44880000</v>
      </c>
      <c r="R8" s="76">
        <f>SUM(R9:R21)</f>
        <v>38380000</v>
      </c>
      <c r="S8" s="76">
        <f>Q8-R8</f>
        <v>6500000</v>
      </c>
      <c r="T8" s="135">
        <f>S8/R8</f>
        <v>0.16935904116727463</v>
      </c>
      <c r="V8" s="504"/>
      <c r="W8" s="504"/>
      <c r="X8" s="504"/>
    </row>
    <row r="9" spans="1:26" s="320" customFormat="1" ht="14.45" customHeight="1">
      <c r="A9" s="313"/>
      <c r="B9" s="314"/>
      <c r="C9" s="315"/>
      <c r="D9" s="314"/>
      <c r="E9" s="316" t="s">
        <v>1558</v>
      </c>
      <c r="F9" s="316"/>
      <c r="G9" s="317"/>
      <c r="H9" s="316"/>
      <c r="I9" s="316"/>
      <c r="J9" s="316"/>
      <c r="K9" s="316"/>
      <c r="L9" s="318"/>
      <c r="M9" s="316"/>
      <c r="N9" s="319"/>
      <c r="O9" s="319"/>
      <c r="P9" s="316"/>
      <c r="Q9" s="171">
        <f>SUM(P10)</f>
        <v>42000000</v>
      </c>
      <c r="R9" s="171">
        <v>38380000</v>
      </c>
      <c r="S9" s="171">
        <f>Q9-R9</f>
        <v>3620000</v>
      </c>
      <c r="T9" s="172">
        <f>S9/R9</f>
        <v>9.4319958311620641E-2</v>
      </c>
      <c r="V9" s="505"/>
      <c r="W9" s="505"/>
      <c r="X9" s="505"/>
    </row>
    <row r="10" spans="1:26" s="320" customFormat="1" ht="14.45" customHeight="1">
      <c r="A10" s="313"/>
      <c r="B10" s="314"/>
      <c r="C10" s="315"/>
      <c r="D10" s="314"/>
      <c r="E10" s="315"/>
      <c r="F10" s="315" t="s">
        <v>501</v>
      </c>
      <c r="G10" s="321"/>
      <c r="H10" s="315"/>
      <c r="I10" s="315"/>
      <c r="J10" s="315"/>
      <c r="K10" s="315"/>
      <c r="L10" s="322"/>
      <c r="M10" s="315"/>
      <c r="N10" s="323"/>
      <c r="O10" s="323"/>
      <c r="P10" s="324">
        <f>SUM(P11:P13)</f>
        <v>42000000</v>
      </c>
      <c r="Q10" s="101"/>
      <c r="R10" s="101"/>
      <c r="S10" s="101"/>
      <c r="T10" s="102"/>
      <c r="V10" s="505"/>
      <c r="W10" s="505"/>
      <c r="X10" s="505"/>
    </row>
    <row r="11" spans="1:26" ht="14.45" customHeight="1">
      <c r="A11" s="224"/>
      <c r="B11" s="225"/>
      <c r="C11" s="226"/>
      <c r="D11" s="225"/>
      <c r="E11" s="237"/>
      <c r="F11" s="238" t="s">
        <v>1644</v>
      </c>
      <c r="G11" s="239">
        <v>1200000</v>
      </c>
      <c r="H11" s="106" t="s">
        <v>273</v>
      </c>
      <c r="I11" s="107">
        <v>1</v>
      </c>
      <c r="J11" s="106" t="s">
        <v>109</v>
      </c>
      <c r="K11" s="108">
        <v>12</v>
      </c>
      <c r="L11" s="109"/>
      <c r="M11" s="108"/>
      <c r="N11" s="110"/>
      <c r="O11" s="110" t="s">
        <v>274</v>
      </c>
      <c r="P11" s="111">
        <f>ROUNDUP(G11*I11*K11,-3)</f>
        <v>14400000</v>
      </c>
      <c r="Q11" s="235"/>
      <c r="R11" s="235"/>
      <c r="S11" s="235"/>
      <c r="T11" s="325"/>
    </row>
    <row r="12" spans="1:26" ht="14.45" customHeight="1">
      <c r="A12" s="224"/>
      <c r="B12" s="225"/>
      <c r="C12" s="226"/>
      <c r="D12" s="225"/>
      <c r="E12" s="247"/>
      <c r="F12" s="248" t="s">
        <v>1645</v>
      </c>
      <c r="G12" s="239">
        <v>1200000</v>
      </c>
      <c r="H12" s="106" t="s">
        <v>273</v>
      </c>
      <c r="I12" s="107">
        <v>1</v>
      </c>
      <c r="J12" s="106" t="s">
        <v>109</v>
      </c>
      <c r="K12" s="108">
        <v>12</v>
      </c>
      <c r="L12" s="109"/>
      <c r="M12" s="108"/>
      <c r="N12" s="110"/>
      <c r="O12" s="110" t="s">
        <v>274</v>
      </c>
      <c r="P12" s="111">
        <f>ROUNDUP(G12*I12*K12,-3)</f>
        <v>14400000</v>
      </c>
      <c r="Q12" s="235"/>
      <c r="R12" s="235"/>
      <c r="S12" s="235"/>
      <c r="T12" s="325"/>
      <c r="V12" s="505"/>
      <c r="W12" s="505"/>
      <c r="X12" s="505"/>
      <c r="Y12" s="320"/>
      <c r="Z12" s="320"/>
    </row>
    <row r="13" spans="1:26" ht="14.45" customHeight="1">
      <c r="A13" s="224"/>
      <c r="B13" s="225"/>
      <c r="C13" s="226"/>
      <c r="D13" s="225"/>
      <c r="E13" s="247"/>
      <c r="F13" s="248" t="s">
        <v>1646</v>
      </c>
      <c r="G13" s="239">
        <v>1100000</v>
      </c>
      <c r="H13" s="106" t="s">
        <v>277</v>
      </c>
      <c r="I13" s="107">
        <v>1</v>
      </c>
      <c r="J13" s="106" t="s">
        <v>109</v>
      </c>
      <c r="K13" s="108">
        <v>12</v>
      </c>
      <c r="L13" s="109"/>
      <c r="M13" s="108"/>
      <c r="N13" s="110"/>
      <c r="O13" s="110" t="s">
        <v>283</v>
      </c>
      <c r="P13" s="111">
        <f>ROUNDUP(G13*I13*K13,-3)</f>
        <v>13200000</v>
      </c>
      <c r="Q13" s="235"/>
      <c r="R13" s="235"/>
      <c r="S13" s="235"/>
      <c r="T13" s="325"/>
    </row>
    <row r="14" spans="1:26" s="320" customFormat="1" ht="14.45" customHeight="1">
      <c r="A14" s="313"/>
      <c r="B14" s="314"/>
      <c r="C14" s="315"/>
      <c r="D14" s="314"/>
      <c r="E14" s="316" t="s">
        <v>640</v>
      </c>
      <c r="F14" s="316"/>
      <c r="G14" s="317"/>
      <c r="H14" s="316"/>
      <c r="I14" s="316"/>
      <c r="J14" s="316"/>
      <c r="K14" s="316"/>
      <c r="L14" s="318"/>
      <c r="M14" s="316"/>
      <c r="N14" s="319"/>
      <c r="O14" s="319"/>
      <c r="P14" s="316"/>
      <c r="Q14" s="171">
        <f>P15+P17</f>
        <v>2520000</v>
      </c>
      <c r="R14" s="171">
        <v>0</v>
      </c>
      <c r="S14" s="171">
        <f>Q14-R14</f>
        <v>2520000</v>
      </c>
      <c r="T14" s="172">
        <v>1</v>
      </c>
      <c r="V14" s="505"/>
      <c r="W14" s="505"/>
      <c r="X14" s="505"/>
    </row>
    <row r="15" spans="1:26" ht="14.45" customHeight="1">
      <c r="A15" s="224"/>
      <c r="B15" s="225"/>
      <c r="C15" s="226"/>
      <c r="D15" s="225"/>
      <c r="E15" s="237"/>
      <c r="F15" s="231" t="s">
        <v>805</v>
      </c>
      <c r="G15" s="249"/>
      <c r="H15" s="240"/>
      <c r="I15" s="240"/>
      <c r="J15" s="240"/>
      <c r="K15" s="240"/>
      <c r="L15" s="250"/>
      <c r="M15" s="240"/>
      <c r="N15" s="244"/>
      <c r="O15" s="244"/>
      <c r="P15" s="251">
        <f>SUM(P16:P16)</f>
        <v>720000</v>
      </c>
      <c r="Q15" s="235"/>
      <c r="R15" s="235"/>
      <c r="S15" s="235"/>
      <c r="T15" s="325"/>
      <c r="V15" s="505"/>
      <c r="W15" s="505"/>
      <c r="X15" s="505"/>
      <c r="Y15" s="320"/>
      <c r="Z15" s="320"/>
    </row>
    <row r="16" spans="1:26" ht="14.45" customHeight="1">
      <c r="A16" s="224"/>
      <c r="B16" s="225"/>
      <c r="C16" s="226"/>
      <c r="D16" s="225"/>
      <c r="E16" s="247"/>
      <c r="F16" s="238" t="s">
        <v>1518</v>
      </c>
      <c r="G16" s="252">
        <v>20000</v>
      </c>
      <c r="H16" s="240" t="s">
        <v>273</v>
      </c>
      <c r="I16" s="241">
        <v>3</v>
      </c>
      <c r="J16" s="240" t="s">
        <v>109</v>
      </c>
      <c r="K16" s="242">
        <v>12</v>
      </c>
      <c r="L16" s="243"/>
      <c r="M16" s="242"/>
      <c r="N16" s="244"/>
      <c r="O16" s="244" t="s">
        <v>274</v>
      </c>
      <c r="P16" s="245">
        <f>ROUNDUP(G16*I16*K16,-3)</f>
        <v>720000</v>
      </c>
      <c r="Q16" s="235"/>
      <c r="R16" s="235"/>
      <c r="S16" s="235"/>
      <c r="T16" s="325"/>
      <c r="V16" s="505"/>
      <c r="W16" s="505"/>
      <c r="X16" s="505"/>
      <c r="Y16" s="320"/>
      <c r="Z16" s="320"/>
    </row>
    <row r="17" spans="1:26" ht="14.45" customHeight="1">
      <c r="A17" s="224"/>
      <c r="B17" s="225"/>
      <c r="C17" s="226"/>
      <c r="D17" s="225"/>
      <c r="E17" s="226"/>
      <c r="F17" s="231" t="s">
        <v>1559</v>
      </c>
      <c r="G17" s="249"/>
      <c r="H17" s="240"/>
      <c r="I17" s="240"/>
      <c r="J17" s="240"/>
      <c r="K17" s="240"/>
      <c r="L17" s="250"/>
      <c r="M17" s="240"/>
      <c r="N17" s="244"/>
      <c r="O17" s="244"/>
      <c r="P17" s="251">
        <f>SUM(P18:P18)</f>
        <v>1800000</v>
      </c>
      <c r="Q17" s="235"/>
      <c r="R17" s="235"/>
      <c r="S17" s="235"/>
      <c r="T17" s="325"/>
      <c r="V17" s="505"/>
      <c r="X17" s="505"/>
      <c r="Y17" s="320"/>
      <c r="Z17" s="320"/>
    </row>
    <row r="18" spans="1:26" ht="14.45" customHeight="1">
      <c r="A18" s="224"/>
      <c r="B18" s="225"/>
      <c r="C18" s="226"/>
      <c r="D18" s="225"/>
      <c r="E18" s="237"/>
      <c r="F18" s="238" t="s">
        <v>2512</v>
      </c>
      <c r="G18" s="326">
        <v>50000</v>
      </c>
      <c r="H18" s="240" t="s">
        <v>273</v>
      </c>
      <c r="I18" s="241">
        <v>3</v>
      </c>
      <c r="J18" s="240" t="s">
        <v>109</v>
      </c>
      <c r="K18" s="242">
        <v>12</v>
      </c>
      <c r="L18" s="250"/>
      <c r="M18" s="254"/>
      <c r="N18" s="244"/>
      <c r="O18" s="244" t="s">
        <v>274</v>
      </c>
      <c r="P18" s="245">
        <f>ROUNDUP(G18*I18*K18,-3)</f>
        <v>1800000</v>
      </c>
      <c r="Q18" s="235"/>
      <c r="R18" s="235"/>
      <c r="S18" s="235"/>
      <c r="T18" s="325"/>
      <c r="V18" s="505"/>
      <c r="W18" s="505"/>
      <c r="X18" s="505"/>
      <c r="Y18" s="320"/>
      <c r="Z18" s="320"/>
    </row>
    <row r="19" spans="1:26" ht="14.45" customHeight="1">
      <c r="A19" s="224"/>
      <c r="B19" s="225"/>
      <c r="C19" s="226"/>
      <c r="D19" s="225"/>
      <c r="E19" s="255" t="s">
        <v>514</v>
      </c>
      <c r="F19" s="227"/>
      <c r="G19" s="228"/>
      <c r="H19" s="66"/>
      <c r="I19" s="66"/>
      <c r="J19" s="66"/>
      <c r="K19" s="66"/>
      <c r="L19" s="229"/>
      <c r="M19" s="66"/>
      <c r="N19" s="230"/>
      <c r="O19" s="230"/>
      <c r="P19" s="66"/>
      <c r="Q19" s="171">
        <f>SUM(P20)</f>
        <v>360000</v>
      </c>
      <c r="R19" s="171">
        <v>0</v>
      </c>
      <c r="S19" s="171">
        <f>Q19-R19</f>
        <v>360000</v>
      </c>
      <c r="T19" s="172">
        <v>1</v>
      </c>
      <c r="V19" s="505"/>
      <c r="X19" s="505"/>
      <c r="Y19" s="320"/>
      <c r="Z19" s="320"/>
    </row>
    <row r="20" spans="1:26" s="320" customFormat="1" ht="14.45" customHeight="1">
      <c r="A20" s="313"/>
      <c r="B20" s="314"/>
      <c r="C20" s="315"/>
      <c r="D20" s="314"/>
      <c r="E20" s="315"/>
      <c r="F20" s="315" t="s">
        <v>653</v>
      </c>
      <c r="G20" s="327"/>
      <c r="H20" s="328"/>
      <c r="I20" s="328"/>
      <c r="J20" s="328"/>
      <c r="K20" s="328"/>
      <c r="L20" s="329"/>
      <c r="M20" s="328"/>
      <c r="N20" s="330"/>
      <c r="O20" s="330"/>
      <c r="P20" s="331">
        <f>SUM(P21:P21)</f>
        <v>360000</v>
      </c>
      <c r="Q20" s="235"/>
      <c r="R20" s="235"/>
      <c r="S20" s="235"/>
      <c r="T20" s="325"/>
      <c r="V20" s="505"/>
      <c r="W20" s="506"/>
      <c r="X20" s="505"/>
    </row>
    <row r="21" spans="1:26" s="320" customFormat="1" ht="14.45" customHeight="1">
      <c r="A21" s="313"/>
      <c r="B21" s="314"/>
      <c r="C21" s="315"/>
      <c r="D21" s="314"/>
      <c r="E21" s="332"/>
      <c r="F21" s="332" t="s">
        <v>515</v>
      </c>
      <c r="G21" s="333">
        <v>4320000</v>
      </c>
      <c r="H21" s="328" t="s">
        <v>282</v>
      </c>
      <c r="I21" s="2002">
        <v>12</v>
      </c>
      <c r="J21" s="2002"/>
      <c r="K21" s="328"/>
      <c r="L21" s="329"/>
      <c r="M21" s="328"/>
      <c r="N21" s="330"/>
      <c r="O21" s="330" t="s">
        <v>281</v>
      </c>
      <c r="P21" s="328">
        <f>ROUNDUP((G21/12),-3)</f>
        <v>360000</v>
      </c>
      <c r="Q21" s="235"/>
      <c r="R21" s="235"/>
      <c r="S21" s="235"/>
      <c r="T21" s="325"/>
      <c r="V21" s="505"/>
      <c r="W21" s="505"/>
      <c r="X21" s="505"/>
    </row>
    <row r="22" spans="1:26" ht="14.45" customHeight="1">
      <c r="A22" s="224"/>
      <c r="B22" s="225"/>
      <c r="C22" s="226"/>
      <c r="D22" s="84" t="s">
        <v>70</v>
      </c>
      <c r="E22" s="84"/>
      <c r="F22" s="85"/>
      <c r="G22" s="86"/>
      <c r="H22" s="84"/>
      <c r="I22" s="84"/>
      <c r="J22" s="84"/>
      <c r="K22" s="84"/>
      <c r="L22" s="83"/>
      <c r="M22" s="84"/>
      <c r="N22" s="87"/>
      <c r="O22" s="87"/>
      <c r="P22" s="84"/>
      <c r="Q22" s="76">
        <f>SUM(Q23:Q72)</f>
        <v>24535000</v>
      </c>
      <c r="R22" s="76">
        <f>SUM(R23:R72)</f>
        <v>19370000</v>
      </c>
      <c r="S22" s="76">
        <f>Q22-R22</f>
        <v>5165000</v>
      </c>
      <c r="T22" s="135">
        <f>S22/R22</f>
        <v>0.26664945792462569</v>
      </c>
    </row>
    <row r="23" spans="1:26" s="320" customFormat="1" ht="14.45" customHeight="1">
      <c r="A23" s="313"/>
      <c r="B23" s="314"/>
      <c r="C23" s="315"/>
      <c r="D23" s="314"/>
      <c r="E23" s="316" t="s">
        <v>655</v>
      </c>
      <c r="F23" s="316"/>
      <c r="G23" s="317"/>
      <c r="H23" s="316"/>
      <c r="I23" s="316"/>
      <c r="J23" s="316"/>
      <c r="K23" s="316"/>
      <c r="L23" s="318"/>
      <c r="M23" s="316"/>
      <c r="N23" s="319"/>
      <c r="O23" s="319"/>
      <c r="P23" s="316"/>
      <c r="Q23" s="171">
        <f>P24</f>
        <v>1200000</v>
      </c>
      <c r="R23" s="171">
        <v>0</v>
      </c>
      <c r="S23" s="171">
        <f>Q23-R23</f>
        <v>1200000</v>
      </c>
      <c r="T23" s="172">
        <v>1</v>
      </c>
      <c r="V23" s="505"/>
      <c r="W23" s="505"/>
      <c r="X23" s="505"/>
    </row>
    <row r="24" spans="1:26" ht="14.45" customHeight="1">
      <c r="A24" s="224"/>
      <c r="B24" s="225"/>
      <c r="C24" s="226"/>
      <c r="D24" s="225"/>
      <c r="E24" s="226"/>
      <c r="F24" s="231" t="s">
        <v>516</v>
      </c>
      <c r="G24" s="249"/>
      <c r="H24" s="240"/>
      <c r="I24" s="240"/>
      <c r="J24" s="240"/>
      <c r="K24" s="240"/>
      <c r="L24" s="250"/>
      <c r="M24" s="240"/>
      <c r="N24" s="244"/>
      <c r="O24" s="244"/>
      <c r="P24" s="251">
        <f>SUM(P25:P29)</f>
        <v>1200000</v>
      </c>
      <c r="Q24" s="235"/>
      <c r="R24" s="235"/>
      <c r="S24" s="235"/>
      <c r="T24" s="325"/>
    </row>
    <row r="25" spans="1:26" s="320" customFormat="1" ht="14.45" customHeight="1">
      <c r="A25" s="313"/>
      <c r="B25" s="314"/>
      <c r="C25" s="315"/>
      <c r="D25" s="314"/>
      <c r="E25" s="332"/>
      <c r="F25" s="332" t="s">
        <v>863</v>
      </c>
      <c r="G25" s="333">
        <v>8888888.8888888899</v>
      </c>
      <c r="H25" s="240" t="s">
        <v>282</v>
      </c>
      <c r="I25" s="1993">
        <v>4.4999999999999998E-2</v>
      </c>
      <c r="J25" s="1993"/>
      <c r="K25" s="328"/>
      <c r="L25" s="329"/>
      <c r="M25" s="328"/>
      <c r="N25" s="330"/>
      <c r="O25" s="330" t="s">
        <v>274</v>
      </c>
      <c r="P25" s="328">
        <f>ROUNDUP(G25*I25,-3)</f>
        <v>400000</v>
      </c>
      <c r="Q25" s="235"/>
      <c r="R25" s="235"/>
      <c r="S25" s="235"/>
      <c r="T25" s="325"/>
      <c r="V25" s="505"/>
      <c r="W25" s="505"/>
      <c r="X25" s="505"/>
    </row>
    <row r="26" spans="1:26" s="320" customFormat="1" ht="14.45" customHeight="1">
      <c r="A26" s="313"/>
      <c r="B26" s="314"/>
      <c r="C26" s="315"/>
      <c r="D26" s="314"/>
      <c r="E26" s="334"/>
      <c r="F26" s="334" t="s">
        <v>1032</v>
      </c>
      <c r="G26" s="333">
        <v>12903225.806451613</v>
      </c>
      <c r="H26" s="240" t="s">
        <v>282</v>
      </c>
      <c r="I26" s="1993">
        <v>3.1E-2</v>
      </c>
      <c r="J26" s="1993"/>
      <c r="K26" s="328"/>
      <c r="L26" s="329"/>
      <c r="M26" s="328"/>
      <c r="N26" s="330"/>
      <c r="O26" s="330" t="s">
        <v>281</v>
      </c>
      <c r="P26" s="328">
        <f>ROUNDUP(G26*I26,-3)</f>
        <v>400000</v>
      </c>
      <c r="Q26" s="235"/>
      <c r="R26" s="235"/>
      <c r="S26" s="235"/>
      <c r="T26" s="325"/>
      <c r="V26" s="505"/>
      <c r="W26" s="505"/>
      <c r="X26" s="505"/>
    </row>
    <row r="27" spans="1:26" s="320" customFormat="1" ht="14.45" customHeight="1">
      <c r="A27" s="313"/>
      <c r="B27" s="314"/>
      <c r="C27" s="315"/>
      <c r="D27" s="314"/>
      <c r="E27" s="334"/>
      <c r="F27" s="334" t="s">
        <v>657</v>
      </c>
      <c r="G27" s="333">
        <v>2853067.0470756064</v>
      </c>
      <c r="H27" s="240" t="s">
        <v>273</v>
      </c>
      <c r="I27" s="1993">
        <v>7.0099999999999996E-2</v>
      </c>
      <c r="J27" s="1993"/>
      <c r="K27" s="328"/>
      <c r="L27" s="329"/>
      <c r="M27" s="328"/>
      <c r="N27" s="330"/>
      <c r="O27" s="330" t="s">
        <v>274</v>
      </c>
      <c r="P27" s="328">
        <f>ROUNDUP(G27*I27,-3)</f>
        <v>200000</v>
      </c>
      <c r="Q27" s="235"/>
      <c r="R27" s="235"/>
      <c r="S27" s="235"/>
      <c r="T27" s="325"/>
      <c r="V27" s="505"/>
      <c r="W27" s="505"/>
      <c r="X27" s="505"/>
    </row>
    <row r="28" spans="1:26" s="320" customFormat="1" ht="14.45" customHeight="1">
      <c r="A28" s="313"/>
      <c r="B28" s="314"/>
      <c r="C28" s="315"/>
      <c r="D28" s="314"/>
      <c r="E28" s="334"/>
      <c r="F28" s="334" t="s">
        <v>519</v>
      </c>
      <c r="G28" s="333">
        <v>11111111.111111112</v>
      </c>
      <c r="H28" s="240" t="s">
        <v>282</v>
      </c>
      <c r="I28" s="1993">
        <v>8.9999999999999993E-3</v>
      </c>
      <c r="J28" s="1993"/>
      <c r="K28" s="328"/>
      <c r="L28" s="329"/>
      <c r="M28" s="328"/>
      <c r="N28" s="330"/>
      <c r="O28" s="330" t="s">
        <v>283</v>
      </c>
      <c r="P28" s="328">
        <f>ROUNDUP(G28*I28,-3)</f>
        <v>100000</v>
      </c>
      <c r="Q28" s="235"/>
      <c r="R28" s="235"/>
      <c r="S28" s="235"/>
      <c r="T28" s="325"/>
      <c r="V28" s="505"/>
      <c r="W28" s="502"/>
      <c r="X28" s="505"/>
    </row>
    <row r="29" spans="1:26" s="320" customFormat="1" ht="14.45" customHeight="1">
      <c r="A29" s="313"/>
      <c r="B29" s="314"/>
      <c r="C29" s="315"/>
      <c r="D29" s="314"/>
      <c r="E29" s="334"/>
      <c r="F29" s="334" t="s">
        <v>436</v>
      </c>
      <c r="G29" s="333">
        <v>16666666.666666666</v>
      </c>
      <c r="H29" s="240" t="s">
        <v>273</v>
      </c>
      <c r="I29" s="1993">
        <v>6.0000000000000001E-3</v>
      </c>
      <c r="J29" s="1993"/>
      <c r="K29" s="328"/>
      <c r="L29" s="329"/>
      <c r="M29" s="328"/>
      <c r="N29" s="330"/>
      <c r="O29" s="330" t="s">
        <v>274</v>
      </c>
      <c r="P29" s="328">
        <f>ROUNDUP(G29*I29,-3)</f>
        <v>100000</v>
      </c>
      <c r="Q29" s="235"/>
      <c r="R29" s="235"/>
      <c r="S29" s="235"/>
      <c r="T29" s="325"/>
      <c r="V29" s="505"/>
      <c r="W29" s="505"/>
      <c r="X29" s="505"/>
    </row>
    <row r="30" spans="1:26" s="320" customFormat="1" ht="14.45" customHeight="1">
      <c r="A30" s="313"/>
      <c r="B30" s="314"/>
      <c r="C30" s="315"/>
      <c r="D30" s="314"/>
      <c r="E30" s="335" t="s">
        <v>866</v>
      </c>
      <c r="F30" s="335"/>
      <c r="G30" s="336"/>
      <c r="H30" s="335"/>
      <c r="I30" s="335"/>
      <c r="J30" s="335"/>
      <c r="K30" s="335"/>
      <c r="L30" s="337"/>
      <c r="M30" s="335"/>
      <c r="N30" s="338"/>
      <c r="O30" s="338"/>
      <c r="P30" s="335"/>
      <c r="Q30" s="171">
        <f>P31</f>
        <v>360000</v>
      </c>
      <c r="R30" s="171">
        <v>0</v>
      </c>
      <c r="S30" s="171">
        <f>Q30-R30</f>
        <v>360000</v>
      </c>
      <c r="T30" s="172">
        <v>1</v>
      </c>
      <c r="V30" s="505"/>
      <c r="W30" s="502"/>
      <c r="X30" s="505"/>
    </row>
    <row r="31" spans="1:26" s="320" customFormat="1" ht="14.45" customHeight="1">
      <c r="A31" s="313"/>
      <c r="B31" s="314"/>
      <c r="C31" s="315"/>
      <c r="D31" s="314"/>
      <c r="E31" s="334"/>
      <c r="F31" s="339" t="s">
        <v>1560</v>
      </c>
      <c r="G31" s="333"/>
      <c r="H31" s="240"/>
      <c r="I31" s="528"/>
      <c r="J31" s="528"/>
      <c r="K31" s="328"/>
      <c r="L31" s="329"/>
      <c r="M31" s="328"/>
      <c r="N31" s="330"/>
      <c r="O31" s="330"/>
      <c r="P31" s="251">
        <f>SUM(P32:P32)</f>
        <v>360000</v>
      </c>
      <c r="Q31" s="235"/>
      <c r="R31" s="235"/>
      <c r="S31" s="235"/>
      <c r="T31" s="325"/>
      <c r="V31" s="505"/>
      <c r="W31" s="505"/>
      <c r="X31" s="505"/>
    </row>
    <row r="32" spans="1:26" s="320" customFormat="1" ht="14.45" customHeight="1">
      <c r="A32" s="313"/>
      <c r="B32" s="314"/>
      <c r="C32" s="315"/>
      <c r="D32" s="314"/>
      <c r="E32" s="334"/>
      <c r="F32" s="340" t="s">
        <v>163</v>
      </c>
      <c r="G32" s="333">
        <v>120000</v>
      </c>
      <c r="H32" s="328" t="s">
        <v>273</v>
      </c>
      <c r="I32" s="241">
        <v>3</v>
      </c>
      <c r="J32" s="328"/>
      <c r="K32" s="328"/>
      <c r="L32" s="329"/>
      <c r="M32" s="328"/>
      <c r="N32" s="330"/>
      <c r="O32" s="330" t="s">
        <v>281</v>
      </c>
      <c r="P32" s="328">
        <f>ROUNDUP(G32*I32,-3)</f>
        <v>360000</v>
      </c>
      <c r="Q32" s="235"/>
      <c r="R32" s="235"/>
      <c r="S32" s="235"/>
      <c r="T32" s="325"/>
      <c r="V32" s="505"/>
      <c r="W32" s="505"/>
      <c r="X32" s="505"/>
    </row>
    <row r="33" spans="1:28" s="344" customFormat="1" ht="14.45" customHeight="1">
      <c r="A33" s="341"/>
      <c r="B33" s="342"/>
      <c r="C33" s="343"/>
      <c r="D33" s="342"/>
      <c r="E33" s="335" t="s">
        <v>388</v>
      </c>
      <c r="F33" s="335"/>
      <c r="G33" s="336"/>
      <c r="H33" s="335"/>
      <c r="I33" s="335"/>
      <c r="J33" s="335"/>
      <c r="K33" s="335"/>
      <c r="L33" s="337"/>
      <c r="M33" s="335"/>
      <c r="N33" s="338"/>
      <c r="O33" s="338"/>
      <c r="P33" s="335"/>
      <c r="Q33" s="171">
        <f>P34</f>
        <v>800000</v>
      </c>
      <c r="R33" s="171">
        <v>600000</v>
      </c>
      <c r="S33" s="171">
        <f>Q33-R33</f>
        <v>200000</v>
      </c>
      <c r="T33" s="172">
        <f t="shared" ref="T33:T40" si="1">S33/R33</f>
        <v>0.33333333333333331</v>
      </c>
      <c r="V33" s="507"/>
      <c r="W33" s="507"/>
      <c r="X33" s="507"/>
    </row>
    <row r="34" spans="1:28" ht="14.45" customHeight="1">
      <c r="A34" s="224"/>
      <c r="B34" s="225"/>
      <c r="C34" s="226"/>
      <c r="D34" s="225"/>
      <c r="E34" s="226"/>
      <c r="F34" s="231" t="s">
        <v>1527</v>
      </c>
      <c r="G34" s="249"/>
      <c r="H34" s="240"/>
      <c r="I34" s="240"/>
      <c r="J34" s="240"/>
      <c r="K34" s="240"/>
      <c r="L34" s="250"/>
      <c r="M34" s="240"/>
      <c r="N34" s="244"/>
      <c r="O34" s="244"/>
      <c r="P34" s="251">
        <f>SUM(P35:P36)</f>
        <v>800000</v>
      </c>
      <c r="Q34" s="235"/>
      <c r="R34" s="235"/>
      <c r="S34" s="235"/>
      <c r="T34" s="325"/>
    </row>
    <row r="35" spans="1:28" s="320" customFormat="1" ht="14.45" customHeight="1">
      <c r="A35" s="313"/>
      <c r="B35" s="314"/>
      <c r="C35" s="315"/>
      <c r="D35" s="314"/>
      <c r="E35" s="332"/>
      <c r="F35" s="332" t="s">
        <v>812</v>
      </c>
      <c r="G35" s="333">
        <v>50000</v>
      </c>
      <c r="H35" s="328" t="s">
        <v>273</v>
      </c>
      <c r="I35" s="242">
        <v>12</v>
      </c>
      <c r="J35" s="328"/>
      <c r="K35" s="328"/>
      <c r="L35" s="329"/>
      <c r="M35" s="328"/>
      <c r="N35" s="330"/>
      <c r="O35" s="330" t="s">
        <v>281</v>
      </c>
      <c r="P35" s="328">
        <f>ROUNDUP(G35*I35,-3)</f>
        <v>600000</v>
      </c>
      <c r="Q35" s="235"/>
      <c r="R35" s="235"/>
      <c r="S35" s="235"/>
      <c r="T35" s="325"/>
      <c r="V35" s="505"/>
      <c r="W35" s="505"/>
      <c r="X35" s="505"/>
    </row>
    <row r="36" spans="1:28" s="320" customFormat="1" ht="14.45" customHeight="1">
      <c r="A36" s="582"/>
      <c r="B36" s="392"/>
      <c r="C36" s="393"/>
      <c r="D36" s="392"/>
      <c r="E36" s="393"/>
      <c r="F36" s="393" t="s">
        <v>1561</v>
      </c>
      <c r="G36" s="1784">
        <v>200000</v>
      </c>
      <c r="H36" s="359" t="s">
        <v>277</v>
      </c>
      <c r="I36" s="580">
        <v>1</v>
      </c>
      <c r="J36" s="359" t="s">
        <v>277</v>
      </c>
      <c r="K36" s="592">
        <v>1</v>
      </c>
      <c r="L36" s="360"/>
      <c r="M36" s="359"/>
      <c r="N36" s="361"/>
      <c r="O36" s="361"/>
      <c r="P36" s="359">
        <f>G36*I36*K36</f>
        <v>200000</v>
      </c>
      <c r="Q36" s="287"/>
      <c r="R36" s="287"/>
      <c r="S36" s="287"/>
      <c r="T36" s="362"/>
      <c r="V36" s="505"/>
      <c r="W36" s="505"/>
      <c r="X36" s="505"/>
    </row>
    <row r="37" spans="1:28" s="320" customFormat="1" ht="14.45" customHeight="1">
      <c r="A37" s="313"/>
      <c r="B37" s="314"/>
      <c r="C37" s="315"/>
      <c r="D37" s="314"/>
      <c r="E37" s="588" t="s">
        <v>393</v>
      </c>
      <c r="F37" s="588"/>
      <c r="G37" s="589"/>
      <c r="H37" s="588"/>
      <c r="I37" s="588"/>
      <c r="J37" s="588"/>
      <c r="K37" s="588"/>
      <c r="L37" s="590"/>
      <c r="M37" s="588"/>
      <c r="N37" s="591"/>
      <c r="O37" s="591"/>
      <c r="P37" s="588"/>
      <c r="Q37" s="188">
        <f>P38</f>
        <v>3500000</v>
      </c>
      <c r="R37" s="188">
        <v>3360000</v>
      </c>
      <c r="S37" s="188">
        <f>Q37-R37</f>
        <v>140000</v>
      </c>
      <c r="T37" s="570">
        <f t="shared" si="1"/>
        <v>4.1666666666666664E-2</v>
      </c>
      <c r="V37" s="505"/>
      <c r="W37" s="505"/>
      <c r="X37" s="505"/>
    </row>
    <row r="38" spans="1:28" ht="14.45" customHeight="1">
      <c r="A38" s="224"/>
      <c r="B38" s="225"/>
      <c r="C38" s="226"/>
      <c r="D38" s="225"/>
      <c r="E38" s="226"/>
      <c r="F38" s="231" t="s">
        <v>394</v>
      </c>
      <c r="G38" s="249"/>
      <c r="H38" s="240"/>
      <c r="I38" s="240"/>
      <c r="J38" s="240"/>
      <c r="K38" s="240"/>
      <c r="L38" s="250"/>
      <c r="M38" s="240"/>
      <c r="N38" s="244"/>
      <c r="O38" s="244"/>
      <c r="P38" s="251">
        <f>SUM(P39:P39)</f>
        <v>3500000</v>
      </c>
      <c r="Q38" s="235"/>
      <c r="R38" s="235"/>
      <c r="S38" s="235"/>
      <c r="T38" s="325"/>
    </row>
    <row r="39" spans="1:28" s="320" customFormat="1" ht="14.45" customHeight="1">
      <c r="A39" s="313"/>
      <c r="B39" s="314"/>
      <c r="C39" s="315"/>
      <c r="D39" s="314"/>
      <c r="E39" s="332"/>
      <c r="F39" s="332" t="s">
        <v>2511</v>
      </c>
      <c r="G39" s="252">
        <v>15.350877192982457</v>
      </c>
      <c r="H39" s="240" t="s">
        <v>282</v>
      </c>
      <c r="I39" s="242">
        <v>12</v>
      </c>
      <c r="J39" s="240" t="s">
        <v>109</v>
      </c>
      <c r="K39" s="2001">
        <v>19000</v>
      </c>
      <c r="L39" s="2001"/>
      <c r="M39" s="328"/>
      <c r="N39" s="330"/>
      <c r="O39" s="330" t="s">
        <v>281</v>
      </c>
      <c r="P39" s="328">
        <f>G39*I39*K39</f>
        <v>3500000</v>
      </c>
      <c r="Q39" s="235"/>
      <c r="R39" s="235"/>
      <c r="S39" s="235"/>
      <c r="T39" s="325"/>
      <c r="V39" s="505"/>
      <c r="W39" s="505"/>
      <c r="X39" s="505"/>
    </row>
    <row r="40" spans="1:28" s="320" customFormat="1" ht="14.45" customHeight="1">
      <c r="A40" s="313"/>
      <c r="B40" s="314"/>
      <c r="C40" s="315"/>
      <c r="D40" s="314"/>
      <c r="E40" s="316" t="s">
        <v>396</v>
      </c>
      <c r="F40" s="316"/>
      <c r="G40" s="317"/>
      <c r="H40" s="316"/>
      <c r="I40" s="316"/>
      <c r="J40" s="316"/>
      <c r="K40" s="316"/>
      <c r="L40" s="318"/>
      <c r="M40" s="316"/>
      <c r="N40" s="319"/>
      <c r="O40" s="319"/>
      <c r="P40" s="316"/>
      <c r="Q40" s="171">
        <f>P41+P43+P45</f>
        <v>2600000</v>
      </c>
      <c r="R40" s="171">
        <v>2050000</v>
      </c>
      <c r="S40" s="171">
        <f>Q40-R40</f>
        <v>550000</v>
      </c>
      <c r="T40" s="172">
        <f t="shared" si="1"/>
        <v>0.26829268292682928</v>
      </c>
      <c r="V40" s="505"/>
      <c r="W40" s="505"/>
      <c r="X40" s="508"/>
    </row>
    <row r="41" spans="1:28" s="320" customFormat="1" ht="14.45" customHeight="1">
      <c r="A41" s="313"/>
      <c r="B41" s="314"/>
      <c r="C41" s="315"/>
      <c r="D41" s="314"/>
      <c r="E41" s="345"/>
      <c r="F41" s="346" t="s">
        <v>1563</v>
      </c>
      <c r="G41" s="347"/>
      <c r="H41" s="348"/>
      <c r="I41" s="348"/>
      <c r="J41" s="348"/>
      <c r="K41" s="348"/>
      <c r="L41" s="349"/>
      <c r="M41" s="348"/>
      <c r="N41" s="350"/>
      <c r="O41" s="350"/>
      <c r="P41" s="262">
        <f>P42</f>
        <v>1000000</v>
      </c>
      <c r="Q41" s="263"/>
      <c r="R41" s="263"/>
      <c r="S41" s="263"/>
      <c r="T41" s="351"/>
      <c r="V41" s="505"/>
      <c r="W41" s="505"/>
      <c r="X41" s="505"/>
    </row>
    <row r="42" spans="1:28" s="320" customFormat="1" ht="14.45" customHeight="1">
      <c r="A42" s="313"/>
      <c r="B42" s="314"/>
      <c r="C42" s="315"/>
      <c r="D42" s="314"/>
      <c r="E42" s="352"/>
      <c r="F42" s="332" t="s">
        <v>2510</v>
      </c>
      <c r="G42" s="327">
        <v>83333.333333333328</v>
      </c>
      <c r="H42" s="328" t="s">
        <v>282</v>
      </c>
      <c r="I42" s="242">
        <v>12</v>
      </c>
      <c r="J42" s="328"/>
      <c r="K42" s="328"/>
      <c r="L42" s="329"/>
      <c r="M42" s="328"/>
      <c r="N42" s="330"/>
      <c r="O42" s="330" t="s">
        <v>274</v>
      </c>
      <c r="P42" s="328">
        <f>ROUNDUP(G42*I42,-3)</f>
        <v>1000000</v>
      </c>
      <c r="Q42" s="235"/>
      <c r="R42" s="235"/>
      <c r="S42" s="235"/>
      <c r="T42" s="325"/>
      <c r="V42" s="505"/>
      <c r="W42" s="505"/>
      <c r="X42" s="505"/>
      <c r="AB42" s="196"/>
    </row>
    <row r="43" spans="1:28" s="320" customFormat="1" ht="14.45" customHeight="1">
      <c r="A43" s="313"/>
      <c r="B43" s="314"/>
      <c r="C43" s="315"/>
      <c r="D43" s="314"/>
      <c r="E43" s="352"/>
      <c r="F43" s="315" t="s">
        <v>1564</v>
      </c>
      <c r="G43" s="327"/>
      <c r="H43" s="328"/>
      <c r="I43" s="328"/>
      <c r="J43" s="328"/>
      <c r="K43" s="328"/>
      <c r="L43" s="329"/>
      <c r="M43" s="328"/>
      <c r="N43" s="330"/>
      <c r="O43" s="330"/>
      <c r="P43" s="353">
        <f>P44</f>
        <v>600000</v>
      </c>
      <c r="Q43" s="235"/>
      <c r="R43" s="235"/>
      <c r="S43" s="235"/>
      <c r="T43" s="325"/>
      <c r="V43" s="505"/>
      <c r="W43" s="505"/>
      <c r="X43" s="505"/>
    </row>
    <row r="44" spans="1:28" s="320" customFormat="1" ht="14.45" customHeight="1">
      <c r="A44" s="313"/>
      <c r="B44" s="314"/>
      <c r="C44" s="315"/>
      <c r="D44" s="314"/>
      <c r="E44" s="354"/>
      <c r="F44" s="332" t="s">
        <v>2509</v>
      </c>
      <c r="G44" s="333">
        <v>50000</v>
      </c>
      <c r="H44" s="328" t="s">
        <v>277</v>
      </c>
      <c r="I44" s="242">
        <v>12</v>
      </c>
      <c r="J44" s="328"/>
      <c r="K44" s="328"/>
      <c r="L44" s="329"/>
      <c r="M44" s="328"/>
      <c r="N44" s="330"/>
      <c r="O44" s="330" t="s">
        <v>274</v>
      </c>
      <c r="P44" s="328">
        <f>ROUNDUP(G44*I44,-3)</f>
        <v>600000</v>
      </c>
      <c r="Q44" s="235"/>
      <c r="R44" s="235"/>
      <c r="S44" s="235"/>
      <c r="T44" s="325"/>
      <c r="V44" s="505"/>
      <c r="W44" s="505"/>
      <c r="X44" s="505"/>
      <c r="Y44" s="196"/>
      <c r="AB44" s="196"/>
    </row>
    <row r="45" spans="1:28" s="320" customFormat="1" ht="14.45" customHeight="1">
      <c r="A45" s="313"/>
      <c r="B45" s="314"/>
      <c r="C45" s="315"/>
      <c r="D45" s="314"/>
      <c r="E45" s="354"/>
      <c r="F45" s="355" t="s">
        <v>1565</v>
      </c>
      <c r="G45" s="333"/>
      <c r="H45" s="328"/>
      <c r="I45" s="328"/>
      <c r="J45" s="328"/>
      <c r="K45" s="328"/>
      <c r="L45" s="329"/>
      <c r="M45" s="328"/>
      <c r="N45" s="330"/>
      <c r="O45" s="330"/>
      <c r="P45" s="353">
        <f>P46</f>
        <v>1000000</v>
      </c>
      <c r="Q45" s="235"/>
      <c r="R45" s="235"/>
      <c r="S45" s="235"/>
      <c r="T45" s="325"/>
      <c r="V45" s="505"/>
      <c r="W45" s="505"/>
      <c r="X45" s="505"/>
    </row>
    <row r="46" spans="1:28" s="320" customFormat="1" ht="14.45" customHeight="1">
      <c r="A46" s="313"/>
      <c r="B46" s="314"/>
      <c r="C46" s="315"/>
      <c r="D46" s="314"/>
      <c r="E46" s="356"/>
      <c r="F46" s="357" t="s">
        <v>2508</v>
      </c>
      <c r="G46" s="358">
        <v>83333.333333333328</v>
      </c>
      <c r="H46" s="359" t="s">
        <v>282</v>
      </c>
      <c r="I46" s="284">
        <v>12</v>
      </c>
      <c r="J46" s="359"/>
      <c r="K46" s="359"/>
      <c r="L46" s="360"/>
      <c r="M46" s="359"/>
      <c r="N46" s="361"/>
      <c r="O46" s="361" t="s">
        <v>274</v>
      </c>
      <c r="P46" s="359">
        <f>ROUNDUP(G46*I46,-3)</f>
        <v>1000000</v>
      </c>
      <c r="Q46" s="287"/>
      <c r="R46" s="287"/>
      <c r="S46" s="287"/>
      <c r="T46" s="362"/>
      <c r="V46" s="505"/>
      <c r="W46" s="505"/>
      <c r="X46" s="505"/>
    </row>
    <row r="47" spans="1:28" ht="14.45" customHeight="1">
      <c r="A47" s="224"/>
      <c r="B47" s="225"/>
      <c r="C47" s="226"/>
      <c r="D47" s="225"/>
      <c r="E47" s="363" t="s">
        <v>401</v>
      </c>
      <c r="F47" s="364"/>
      <c r="G47" s="365"/>
      <c r="H47" s="363"/>
      <c r="I47" s="363"/>
      <c r="J47" s="363"/>
      <c r="K47" s="363"/>
      <c r="L47" s="366"/>
      <c r="M47" s="363"/>
      <c r="N47" s="367"/>
      <c r="O47" s="367"/>
      <c r="P47" s="363"/>
      <c r="Q47" s="188">
        <f>P48</f>
        <v>700000</v>
      </c>
      <c r="R47" s="188">
        <v>0</v>
      </c>
      <c r="S47" s="188">
        <f>Q47-R47</f>
        <v>700000</v>
      </c>
      <c r="T47" s="172">
        <v>1</v>
      </c>
    </row>
    <row r="48" spans="1:28" s="320" customFormat="1" ht="14.45" customHeight="1">
      <c r="A48" s="313"/>
      <c r="B48" s="314"/>
      <c r="C48" s="315"/>
      <c r="D48" s="314"/>
      <c r="E48" s="315"/>
      <c r="F48" s="315" t="s">
        <v>1035</v>
      </c>
      <c r="G48" s="327"/>
      <c r="H48" s="328"/>
      <c r="I48" s="328"/>
      <c r="J48" s="328"/>
      <c r="K48" s="328"/>
      <c r="L48" s="329"/>
      <c r="M48" s="328"/>
      <c r="N48" s="330"/>
      <c r="O48" s="330"/>
      <c r="P48" s="251">
        <f>SUM(P49:P50)</f>
        <v>700000</v>
      </c>
      <c r="Q48" s="235"/>
      <c r="R48" s="235"/>
      <c r="S48" s="235"/>
      <c r="T48" s="325"/>
      <c r="V48" s="505"/>
      <c r="W48" s="505"/>
      <c r="X48" s="505"/>
    </row>
    <row r="49" spans="1:24" s="320" customFormat="1" ht="14.45" customHeight="1">
      <c r="A49" s="313"/>
      <c r="B49" s="314"/>
      <c r="C49" s="315"/>
      <c r="D49" s="314"/>
      <c r="E49" s="315"/>
      <c r="F49" s="332" t="s">
        <v>1566</v>
      </c>
      <c r="G49" s="1783">
        <v>125000</v>
      </c>
      <c r="H49" s="328" t="s">
        <v>273</v>
      </c>
      <c r="I49" s="242">
        <v>4</v>
      </c>
      <c r="J49" s="328"/>
      <c r="K49" s="328"/>
      <c r="L49" s="329"/>
      <c r="M49" s="328"/>
      <c r="N49" s="330"/>
      <c r="O49" s="330" t="s">
        <v>283</v>
      </c>
      <c r="P49" s="328">
        <f>ROUNDUP(G49*I49,-3)</f>
        <v>500000</v>
      </c>
      <c r="Q49" s="235"/>
      <c r="R49" s="235"/>
      <c r="S49" s="235"/>
      <c r="T49" s="325"/>
      <c r="V49" s="505"/>
      <c r="W49" s="505"/>
      <c r="X49" s="505"/>
    </row>
    <row r="50" spans="1:24" s="320" customFormat="1" ht="14.45" customHeight="1">
      <c r="A50" s="313"/>
      <c r="B50" s="314"/>
      <c r="C50" s="315"/>
      <c r="D50" s="314"/>
      <c r="E50" s="332"/>
      <c r="F50" s="332" t="s">
        <v>821</v>
      </c>
      <c r="G50" s="1783">
        <v>50000</v>
      </c>
      <c r="H50" s="328" t="s">
        <v>282</v>
      </c>
      <c r="I50" s="242">
        <v>4</v>
      </c>
      <c r="J50" s="328"/>
      <c r="K50" s="328"/>
      <c r="L50" s="329"/>
      <c r="M50" s="328"/>
      <c r="N50" s="330"/>
      <c r="O50" s="330" t="s">
        <v>283</v>
      </c>
      <c r="P50" s="328">
        <f>ROUNDUP(G50*I50,-3)</f>
        <v>200000</v>
      </c>
      <c r="Q50" s="235"/>
      <c r="R50" s="235"/>
      <c r="S50" s="235"/>
      <c r="T50" s="325"/>
      <c r="V50" s="505"/>
      <c r="W50" s="505"/>
      <c r="X50" s="505"/>
    </row>
    <row r="51" spans="1:24" s="320" customFormat="1" ht="14.45" customHeight="1">
      <c r="A51" s="313"/>
      <c r="B51" s="314"/>
      <c r="C51" s="315"/>
      <c r="D51" s="314"/>
      <c r="E51" s="316" t="s">
        <v>404</v>
      </c>
      <c r="F51" s="316"/>
      <c r="G51" s="317"/>
      <c r="H51" s="316"/>
      <c r="I51" s="316"/>
      <c r="J51" s="316"/>
      <c r="K51" s="316"/>
      <c r="L51" s="318"/>
      <c r="M51" s="316"/>
      <c r="N51" s="319"/>
      <c r="O51" s="319"/>
      <c r="P51" s="316"/>
      <c r="Q51" s="171">
        <f>P52</f>
        <v>10500000</v>
      </c>
      <c r="R51" s="171">
        <v>10000000</v>
      </c>
      <c r="S51" s="171">
        <f>Q51-R51</f>
        <v>500000</v>
      </c>
      <c r="T51" s="172">
        <f t="shared" ref="T51:T61" si="2">S51/R51</f>
        <v>0.05</v>
      </c>
      <c r="V51" s="505"/>
      <c r="W51" s="505"/>
      <c r="X51" s="505"/>
    </row>
    <row r="52" spans="1:24" ht="14.45" customHeight="1">
      <c r="A52" s="224"/>
      <c r="B52" s="225"/>
      <c r="C52" s="226"/>
      <c r="D52" s="225"/>
      <c r="E52" s="226"/>
      <c r="F52" s="231" t="s">
        <v>889</v>
      </c>
      <c r="G52" s="249"/>
      <c r="H52" s="240"/>
      <c r="I52" s="240"/>
      <c r="J52" s="240"/>
      <c r="K52" s="240"/>
      <c r="L52" s="250"/>
      <c r="M52" s="240"/>
      <c r="N52" s="244"/>
      <c r="O52" s="244"/>
      <c r="P52" s="251">
        <f>P53</f>
        <v>10500000</v>
      </c>
      <c r="Q52" s="235"/>
      <c r="R52" s="235"/>
      <c r="S52" s="235"/>
      <c r="T52" s="325"/>
    </row>
    <row r="53" spans="1:24" s="320" customFormat="1" ht="14.45" customHeight="1">
      <c r="A53" s="313"/>
      <c r="B53" s="314"/>
      <c r="C53" s="315"/>
      <c r="D53" s="314"/>
      <c r="E53" s="315"/>
      <c r="F53" s="238" t="s">
        <v>1567</v>
      </c>
      <c r="G53" s="252">
        <v>875000</v>
      </c>
      <c r="H53" s="240" t="s">
        <v>109</v>
      </c>
      <c r="I53" s="242">
        <v>12</v>
      </c>
      <c r="J53" s="328"/>
      <c r="K53" s="328"/>
      <c r="L53" s="329"/>
      <c r="M53" s="328"/>
      <c r="N53" s="330"/>
      <c r="O53" s="330" t="s">
        <v>283</v>
      </c>
      <c r="P53" s="328">
        <f>ROUNDUP(G53*I53,-3)</f>
        <v>10500000</v>
      </c>
      <c r="Q53" s="235"/>
      <c r="R53" s="235"/>
      <c r="S53" s="235"/>
      <c r="T53" s="325"/>
      <c r="V53" s="505"/>
      <c r="W53" s="505"/>
      <c r="X53" s="505"/>
    </row>
    <row r="54" spans="1:24" ht="14.45" customHeight="1">
      <c r="A54" s="224"/>
      <c r="B54" s="225"/>
      <c r="C54" s="226"/>
      <c r="D54" s="225"/>
      <c r="E54" s="66" t="s">
        <v>410</v>
      </c>
      <c r="F54" s="227"/>
      <c r="G54" s="228"/>
      <c r="H54" s="66"/>
      <c r="I54" s="66"/>
      <c r="J54" s="66"/>
      <c r="K54" s="66"/>
      <c r="L54" s="229"/>
      <c r="M54" s="66"/>
      <c r="N54" s="230"/>
      <c r="O54" s="230"/>
      <c r="P54" s="66"/>
      <c r="Q54" s="171">
        <f>P55</f>
        <v>200000</v>
      </c>
      <c r="R54" s="171">
        <v>0</v>
      </c>
      <c r="S54" s="171">
        <f>Q54-R54</f>
        <v>200000</v>
      </c>
      <c r="T54" s="172">
        <v>1</v>
      </c>
    </row>
    <row r="55" spans="1:24" ht="14.45" customHeight="1">
      <c r="A55" s="224"/>
      <c r="B55" s="225"/>
      <c r="C55" s="226"/>
      <c r="D55" s="225"/>
      <c r="E55" s="226"/>
      <c r="F55" s="231" t="s">
        <v>1568</v>
      </c>
      <c r="G55" s="249"/>
      <c r="H55" s="240"/>
      <c r="I55" s="240"/>
      <c r="J55" s="240"/>
      <c r="K55" s="240"/>
      <c r="L55" s="250"/>
      <c r="M55" s="240"/>
      <c r="N55" s="244"/>
      <c r="O55" s="244"/>
      <c r="P55" s="251">
        <f>SUM(P56:P56)</f>
        <v>200000</v>
      </c>
      <c r="Q55" s="235"/>
      <c r="R55" s="235"/>
      <c r="S55" s="235"/>
      <c r="T55" s="325"/>
    </row>
    <row r="56" spans="1:24" s="320" customFormat="1" ht="14.45" customHeight="1">
      <c r="A56" s="313"/>
      <c r="B56" s="314"/>
      <c r="C56" s="315"/>
      <c r="D56" s="314"/>
      <c r="E56" s="332"/>
      <c r="F56" s="332" t="s">
        <v>525</v>
      </c>
      <c r="G56" s="333">
        <v>16666.666666666668</v>
      </c>
      <c r="H56" s="328" t="s">
        <v>282</v>
      </c>
      <c r="I56" s="242">
        <v>12</v>
      </c>
      <c r="J56" s="328"/>
      <c r="K56" s="328"/>
      <c r="L56" s="329"/>
      <c r="M56" s="328"/>
      <c r="N56" s="330"/>
      <c r="O56" s="330" t="s">
        <v>274</v>
      </c>
      <c r="P56" s="328">
        <f t="shared" ref="P56" si="3">ROUNDUP(G56*I56,-3)</f>
        <v>200000</v>
      </c>
      <c r="Q56" s="235"/>
      <c r="R56" s="235"/>
      <c r="S56" s="235"/>
      <c r="T56" s="325"/>
      <c r="V56" s="505"/>
      <c r="W56" s="505"/>
      <c r="X56" s="505"/>
    </row>
    <row r="57" spans="1:24" s="320" customFormat="1" ht="14.45" customHeight="1">
      <c r="A57" s="313"/>
      <c r="B57" s="314"/>
      <c r="C57" s="315"/>
      <c r="D57" s="314"/>
      <c r="E57" s="316" t="s">
        <v>824</v>
      </c>
      <c r="F57" s="316"/>
      <c r="G57" s="317"/>
      <c r="H57" s="316"/>
      <c r="I57" s="316"/>
      <c r="J57" s="316"/>
      <c r="K57" s="316"/>
      <c r="L57" s="318"/>
      <c r="M57" s="316"/>
      <c r="N57" s="319"/>
      <c r="O57" s="319"/>
      <c r="P57" s="316"/>
      <c r="Q57" s="171">
        <f>ROUNDUP(P58,-3)</f>
        <v>375000</v>
      </c>
      <c r="R57" s="171">
        <v>360000</v>
      </c>
      <c r="S57" s="171">
        <f>Q57-R57</f>
        <v>15000</v>
      </c>
      <c r="T57" s="172">
        <f t="shared" si="2"/>
        <v>4.1666666666666664E-2</v>
      </c>
      <c r="V57" s="505"/>
      <c r="W57" s="505"/>
      <c r="X57" s="505"/>
    </row>
    <row r="58" spans="1:24" s="320" customFormat="1" ht="14.45" customHeight="1">
      <c r="A58" s="313"/>
      <c r="B58" s="314"/>
      <c r="C58" s="315"/>
      <c r="D58" s="314"/>
      <c r="E58" s="345"/>
      <c r="F58" s="346" t="s">
        <v>685</v>
      </c>
      <c r="G58" s="347"/>
      <c r="H58" s="348"/>
      <c r="I58" s="348"/>
      <c r="J58" s="348"/>
      <c r="K58" s="348"/>
      <c r="L58" s="349"/>
      <c r="M58" s="348"/>
      <c r="N58" s="350"/>
      <c r="O58" s="350"/>
      <c r="P58" s="251">
        <f>SUM(P59:P60)</f>
        <v>374560</v>
      </c>
      <c r="Q58" s="263"/>
      <c r="R58" s="263"/>
      <c r="S58" s="263"/>
      <c r="T58" s="351"/>
      <c r="V58" s="505"/>
      <c r="W58" s="505"/>
      <c r="X58" s="505"/>
    </row>
    <row r="59" spans="1:24" s="320" customFormat="1" ht="14.45" customHeight="1">
      <c r="A59" s="313"/>
      <c r="B59" s="314"/>
      <c r="C59" s="315"/>
      <c r="D59" s="314"/>
      <c r="E59" s="315"/>
      <c r="F59" s="315" t="s">
        <v>1569</v>
      </c>
      <c r="G59" s="327">
        <v>7280</v>
      </c>
      <c r="H59" s="328" t="s">
        <v>1570</v>
      </c>
      <c r="I59" s="241">
        <v>2</v>
      </c>
      <c r="J59" s="328"/>
      <c r="K59" s="328"/>
      <c r="L59" s="329"/>
      <c r="M59" s="328"/>
      <c r="N59" s="330"/>
      <c r="O59" s="330" t="s">
        <v>281</v>
      </c>
      <c r="P59" s="249">
        <f>ROUNDUP(G59*I59,3)</f>
        <v>14560</v>
      </c>
      <c r="Q59" s="235"/>
      <c r="R59" s="235"/>
      <c r="S59" s="235"/>
      <c r="T59" s="325"/>
      <c r="V59" s="505"/>
      <c r="W59" s="505"/>
      <c r="X59" s="505"/>
    </row>
    <row r="60" spans="1:24" s="320" customFormat="1" ht="14.45" customHeight="1">
      <c r="A60" s="313"/>
      <c r="B60" s="314"/>
      <c r="C60" s="315"/>
      <c r="D60" s="314"/>
      <c r="E60" s="315"/>
      <c r="F60" s="332" t="s">
        <v>1571</v>
      </c>
      <c r="G60" s="252">
        <v>30000</v>
      </c>
      <c r="H60" s="240" t="s">
        <v>273</v>
      </c>
      <c r="I60" s="242">
        <v>12</v>
      </c>
      <c r="J60" s="328"/>
      <c r="K60" s="328"/>
      <c r="L60" s="329"/>
      <c r="M60" s="328"/>
      <c r="N60" s="330"/>
      <c r="O60" s="330" t="s">
        <v>283</v>
      </c>
      <c r="P60" s="328">
        <f t="shared" ref="P60" si="4">ROUNDUP(G60*I60,-3)</f>
        <v>360000</v>
      </c>
      <c r="Q60" s="235"/>
      <c r="R60" s="235"/>
      <c r="S60" s="235"/>
      <c r="T60" s="325"/>
      <c r="V60" s="505"/>
      <c r="W60" s="505"/>
      <c r="X60" s="505"/>
    </row>
    <row r="61" spans="1:24" s="320" customFormat="1" ht="14.45" customHeight="1">
      <c r="A61" s="313"/>
      <c r="B61" s="314"/>
      <c r="C61" s="315"/>
      <c r="D61" s="314"/>
      <c r="E61" s="316" t="s">
        <v>537</v>
      </c>
      <c r="F61" s="316"/>
      <c r="G61" s="317"/>
      <c r="H61" s="316"/>
      <c r="I61" s="316"/>
      <c r="J61" s="316"/>
      <c r="K61" s="316"/>
      <c r="L61" s="318"/>
      <c r="M61" s="316"/>
      <c r="N61" s="319"/>
      <c r="O61" s="319"/>
      <c r="P61" s="316"/>
      <c r="Q61" s="171">
        <f>P62</f>
        <v>3000000</v>
      </c>
      <c r="R61" s="171">
        <v>2400000</v>
      </c>
      <c r="S61" s="171">
        <f>Q61-R61</f>
        <v>600000</v>
      </c>
      <c r="T61" s="172">
        <f t="shared" si="2"/>
        <v>0.25</v>
      </c>
      <c r="V61" s="505"/>
      <c r="W61" s="505"/>
      <c r="X61" s="505"/>
    </row>
    <row r="62" spans="1:24" s="320" customFormat="1" ht="14.45" customHeight="1">
      <c r="A62" s="313"/>
      <c r="B62" s="314"/>
      <c r="C62" s="315"/>
      <c r="D62" s="314"/>
      <c r="E62" s="315"/>
      <c r="F62" s="315" t="s">
        <v>538</v>
      </c>
      <c r="G62" s="327"/>
      <c r="H62" s="328"/>
      <c r="I62" s="242"/>
      <c r="J62" s="328"/>
      <c r="K62" s="328"/>
      <c r="L62" s="329"/>
      <c r="M62" s="328"/>
      <c r="N62" s="330"/>
      <c r="O62" s="350"/>
      <c r="P62" s="251">
        <f>SUM(P63:P63)</f>
        <v>3000000</v>
      </c>
      <c r="Q62" s="235"/>
      <c r="R62" s="235"/>
      <c r="S62" s="235"/>
      <c r="T62" s="325"/>
      <c r="V62" s="505"/>
      <c r="W62" s="505"/>
      <c r="X62" s="505"/>
    </row>
    <row r="63" spans="1:24" s="320" customFormat="1" ht="14.45" customHeight="1">
      <c r="A63" s="313"/>
      <c r="B63" s="314"/>
      <c r="C63" s="315"/>
      <c r="D63" s="314"/>
      <c r="E63" s="315"/>
      <c r="F63" s="332" t="s">
        <v>1572</v>
      </c>
      <c r="G63" s="252">
        <v>250000</v>
      </c>
      <c r="H63" s="240" t="s">
        <v>273</v>
      </c>
      <c r="I63" s="242">
        <v>12</v>
      </c>
      <c r="J63" s="328"/>
      <c r="K63" s="328"/>
      <c r="L63" s="329"/>
      <c r="M63" s="328"/>
      <c r="N63" s="330"/>
      <c r="O63" s="330" t="s">
        <v>281</v>
      </c>
      <c r="P63" s="328">
        <f t="shared" ref="P63" si="5">ROUNDUP(G63*I63,-3)</f>
        <v>3000000</v>
      </c>
      <c r="Q63" s="235"/>
      <c r="R63" s="235"/>
      <c r="S63" s="235"/>
      <c r="T63" s="325"/>
      <c r="V63" s="505"/>
      <c r="W63" s="505"/>
      <c r="X63" s="505"/>
    </row>
    <row r="64" spans="1:24" ht="14.45" customHeight="1">
      <c r="A64" s="224"/>
      <c r="B64" s="225"/>
      <c r="C64" s="226"/>
      <c r="D64" s="225"/>
      <c r="E64" s="66" t="s">
        <v>455</v>
      </c>
      <c r="F64" s="227"/>
      <c r="G64" s="228"/>
      <c r="H64" s="66"/>
      <c r="I64" s="66"/>
      <c r="J64" s="66"/>
      <c r="K64" s="66"/>
      <c r="L64" s="229"/>
      <c r="M64" s="66"/>
      <c r="N64" s="230"/>
      <c r="O64" s="230"/>
      <c r="P64" s="66"/>
      <c r="Q64" s="171">
        <f>P65</f>
        <v>500000</v>
      </c>
      <c r="R64" s="171">
        <v>0</v>
      </c>
      <c r="S64" s="171">
        <f>Q64-R64</f>
        <v>500000</v>
      </c>
      <c r="T64" s="172">
        <v>1</v>
      </c>
    </row>
    <row r="65" spans="1:24" ht="14.45" customHeight="1">
      <c r="A65" s="224"/>
      <c r="B65" s="225"/>
      <c r="C65" s="226"/>
      <c r="D65" s="225"/>
      <c r="E65" s="226"/>
      <c r="F65" s="231" t="s">
        <v>1573</v>
      </c>
      <c r="G65" s="249"/>
      <c r="H65" s="240"/>
      <c r="I65" s="240"/>
      <c r="J65" s="240"/>
      <c r="K65" s="240"/>
      <c r="L65" s="250"/>
      <c r="M65" s="240"/>
      <c r="N65" s="244"/>
      <c r="O65" s="244"/>
      <c r="P65" s="251">
        <f>SUM(P66:P66)</f>
        <v>500000</v>
      </c>
      <c r="Q65" s="235"/>
      <c r="R65" s="235"/>
      <c r="S65" s="235"/>
      <c r="T65" s="325"/>
    </row>
    <row r="66" spans="1:24" s="320" customFormat="1" ht="14.45" customHeight="1">
      <c r="A66" s="313"/>
      <c r="B66" s="314"/>
      <c r="C66" s="315"/>
      <c r="D66" s="314"/>
      <c r="E66" s="332"/>
      <c r="F66" s="332" t="s">
        <v>1574</v>
      </c>
      <c r="G66" s="333">
        <v>166666.66666666666</v>
      </c>
      <c r="H66" s="328" t="s">
        <v>282</v>
      </c>
      <c r="I66" s="107">
        <v>3</v>
      </c>
      <c r="J66" s="328"/>
      <c r="K66" s="328"/>
      <c r="L66" s="329"/>
      <c r="M66" s="328"/>
      <c r="N66" s="330"/>
      <c r="O66" s="330" t="s">
        <v>283</v>
      </c>
      <c r="P66" s="328">
        <f>ROUNDUP(G66*I66,-3)</f>
        <v>500000</v>
      </c>
      <c r="Q66" s="235"/>
      <c r="R66" s="235"/>
      <c r="S66" s="235"/>
      <c r="T66" s="325"/>
      <c r="V66" s="505"/>
      <c r="W66" s="505"/>
      <c r="X66" s="505"/>
    </row>
    <row r="67" spans="1:24" s="376" customFormat="1" ht="14.45" customHeight="1">
      <c r="A67" s="368"/>
      <c r="B67" s="369"/>
      <c r="C67" s="369"/>
      <c r="D67" s="369"/>
      <c r="E67" s="370" t="s">
        <v>1575</v>
      </c>
      <c r="F67" s="370"/>
      <c r="G67" s="371"/>
      <c r="H67" s="370"/>
      <c r="I67" s="370"/>
      <c r="J67" s="370"/>
      <c r="K67" s="370"/>
      <c r="L67" s="372"/>
      <c r="M67" s="370"/>
      <c r="N67" s="373"/>
      <c r="O67" s="373"/>
      <c r="P67" s="370"/>
      <c r="Q67" s="171">
        <f>P68</f>
        <v>600000</v>
      </c>
      <c r="R67" s="171">
        <v>600000</v>
      </c>
      <c r="S67" s="374">
        <f>Q67-R67</f>
        <v>0</v>
      </c>
      <c r="T67" s="375">
        <f t="shared" ref="T67:T75" si="6">S67/R67</f>
        <v>0</v>
      </c>
      <c r="V67" s="509"/>
      <c r="W67" s="509"/>
      <c r="X67" s="509"/>
    </row>
    <row r="68" spans="1:24" s="376" customFormat="1" ht="14.45" customHeight="1">
      <c r="A68" s="368"/>
      <c r="B68" s="369"/>
      <c r="C68" s="369"/>
      <c r="D68" s="369"/>
      <c r="E68" s="377"/>
      <c r="F68" s="378" t="s">
        <v>834</v>
      </c>
      <c r="G68" s="379"/>
      <c r="H68" s="378"/>
      <c r="I68" s="378"/>
      <c r="J68" s="378"/>
      <c r="K68" s="378"/>
      <c r="L68" s="380"/>
      <c r="M68" s="378"/>
      <c r="N68" s="381"/>
      <c r="O68" s="381"/>
      <c r="P68" s="251">
        <f>SUM(P69:P69)</f>
        <v>600000</v>
      </c>
      <c r="Q68" s="382"/>
      <c r="R68" s="382"/>
      <c r="S68" s="382"/>
      <c r="T68" s="383"/>
      <c r="V68" s="509"/>
      <c r="W68" s="509"/>
      <c r="X68" s="509"/>
    </row>
    <row r="69" spans="1:24" s="376" customFormat="1" ht="14.45" customHeight="1">
      <c r="A69" s="384"/>
      <c r="B69" s="369"/>
      <c r="C69" s="385"/>
      <c r="D69" s="369"/>
      <c r="E69" s="386"/>
      <c r="F69" s="332" t="s">
        <v>1576</v>
      </c>
      <c r="G69" s="333">
        <v>600000</v>
      </c>
      <c r="H69" s="328" t="s">
        <v>277</v>
      </c>
      <c r="I69" s="387">
        <v>1</v>
      </c>
      <c r="J69" s="328"/>
      <c r="K69" s="328"/>
      <c r="L69" s="329"/>
      <c r="M69" s="328"/>
      <c r="N69" s="330"/>
      <c r="O69" s="330" t="s">
        <v>281</v>
      </c>
      <c r="P69" s="328">
        <f>ROUNDUP(G69*I69,-3)</f>
        <v>600000</v>
      </c>
      <c r="Q69" s="388"/>
      <c r="R69" s="388"/>
      <c r="S69" s="388"/>
      <c r="T69" s="389"/>
      <c r="V69" s="509"/>
      <c r="W69" s="509"/>
      <c r="X69" s="509"/>
    </row>
    <row r="70" spans="1:24" s="320" customFormat="1" ht="14.45" customHeight="1">
      <c r="A70" s="313"/>
      <c r="B70" s="314"/>
      <c r="C70" s="315"/>
      <c r="D70" s="314"/>
      <c r="E70" s="316" t="s">
        <v>424</v>
      </c>
      <c r="F70" s="316"/>
      <c r="G70" s="317"/>
      <c r="H70" s="316"/>
      <c r="I70" s="316"/>
      <c r="J70" s="316"/>
      <c r="K70" s="316"/>
      <c r="L70" s="318"/>
      <c r="M70" s="316"/>
      <c r="N70" s="319"/>
      <c r="O70" s="319"/>
      <c r="P70" s="316"/>
      <c r="Q70" s="171">
        <f>P71</f>
        <v>200000</v>
      </c>
      <c r="R70" s="171">
        <v>0</v>
      </c>
      <c r="S70" s="171">
        <f>Q70-R70</f>
        <v>200000</v>
      </c>
      <c r="T70" s="172">
        <v>1</v>
      </c>
      <c r="V70" s="505"/>
      <c r="W70" s="505"/>
      <c r="X70" s="505"/>
    </row>
    <row r="71" spans="1:24" s="320" customFormat="1" ht="14.45" customHeight="1">
      <c r="A71" s="313"/>
      <c r="B71" s="314"/>
      <c r="C71" s="315"/>
      <c r="D71" s="314"/>
      <c r="E71" s="377"/>
      <c r="F71" s="378" t="s">
        <v>1577</v>
      </c>
      <c r="G71" s="379"/>
      <c r="H71" s="378"/>
      <c r="I71" s="378"/>
      <c r="J71" s="378"/>
      <c r="K71" s="378"/>
      <c r="L71" s="380"/>
      <c r="M71" s="378"/>
      <c r="N71" s="381"/>
      <c r="O71" s="381"/>
      <c r="P71" s="251">
        <f>SUM(P72:P72)</f>
        <v>200000</v>
      </c>
      <c r="Q71" s="382"/>
      <c r="R71" s="382"/>
      <c r="S71" s="382"/>
      <c r="T71" s="383"/>
      <c r="V71" s="505"/>
      <c r="W71" s="505"/>
      <c r="X71" s="505"/>
    </row>
    <row r="72" spans="1:24" s="320" customFormat="1" ht="14.45" customHeight="1">
      <c r="A72" s="582"/>
      <c r="B72" s="392"/>
      <c r="C72" s="393"/>
      <c r="D72" s="392"/>
      <c r="E72" s="583"/>
      <c r="F72" s="391" t="s">
        <v>694</v>
      </c>
      <c r="G72" s="584">
        <v>200000</v>
      </c>
      <c r="H72" s="359" t="s">
        <v>273</v>
      </c>
      <c r="I72" s="585">
        <v>1</v>
      </c>
      <c r="J72" s="359"/>
      <c r="K72" s="359"/>
      <c r="L72" s="360"/>
      <c r="M72" s="359"/>
      <c r="N72" s="361"/>
      <c r="O72" s="361" t="s">
        <v>274</v>
      </c>
      <c r="P72" s="359">
        <f>ROUNDUP(G72*I72,-3)</f>
        <v>200000</v>
      </c>
      <c r="Q72" s="586"/>
      <c r="R72" s="586"/>
      <c r="S72" s="586"/>
      <c r="T72" s="587"/>
      <c r="V72" s="505"/>
      <c r="W72" s="505">
        <v>2018</v>
      </c>
      <c r="X72" s="505">
        <v>2017</v>
      </c>
    </row>
    <row r="73" spans="1:24" ht="14.45" customHeight="1">
      <c r="A73" s="593"/>
      <c r="B73" s="213"/>
      <c r="C73" s="214" t="s">
        <v>1017</v>
      </c>
      <c r="D73" s="266"/>
      <c r="E73" s="214"/>
      <c r="F73" s="215"/>
      <c r="G73" s="216"/>
      <c r="H73" s="217"/>
      <c r="I73" s="217"/>
      <c r="J73" s="217"/>
      <c r="K73" s="217"/>
      <c r="L73" s="218"/>
      <c r="M73" s="217"/>
      <c r="N73" s="219"/>
      <c r="O73" s="219"/>
      <c r="P73" s="217"/>
      <c r="Q73" s="220">
        <f>Q74</f>
        <v>16000000</v>
      </c>
      <c r="R73" s="220">
        <f>R74</f>
        <v>16000000</v>
      </c>
      <c r="S73" s="220">
        <f>Q73-R73</f>
        <v>0</v>
      </c>
      <c r="T73" s="306">
        <f t="shared" si="6"/>
        <v>0</v>
      </c>
      <c r="V73" s="502" t="s">
        <v>2133</v>
      </c>
      <c r="W73" s="506">
        <f>Q78+Q81</f>
        <v>8000000</v>
      </c>
      <c r="X73" s="506">
        <f>R78+R81</f>
        <v>11500000</v>
      </c>
    </row>
    <row r="74" spans="1:24" ht="14.45" customHeight="1">
      <c r="A74" s="224"/>
      <c r="B74" s="222"/>
      <c r="C74" s="223"/>
      <c r="D74" s="394" t="s">
        <v>2320</v>
      </c>
      <c r="E74" s="84"/>
      <c r="F74" s="85"/>
      <c r="G74" s="86"/>
      <c r="H74" s="84"/>
      <c r="I74" s="84"/>
      <c r="J74" s="84"/>
      <c r="K74" s="84"/>
      <c r="L74" s="83"/>
      <c r="M74" s="84"/>
      <c r="N74" s="87"/>
      <c r="O74" s="87"/>
      <c r="P74" s="84"/>
      <c r="Q74" s="76">
        <f>Q75+Q78+Q81</f>
        <v>16000000</v>
      </c>
      <c r="R74" s="76">
        <f>R75+R78+R81</f>
        <v>16000000</v>
      </c>
      <c r="S74" s="76">
        <f>Q74-R74</f>
        <v>0</v>
      </c>
      <c r="T74" s="135">
        <f t="shared" si="6"/>
        <v>0</v>
      </c>
    </row>
    <row r="75" spans="1:24" s="320" customFormat="1" ht="14.45" customHeight="1">
      <c r="A75" s="313"/>
      <c r="B75" s="314"/>
      <c r="C75" s="315"/>
      <c r="D75" s="390"/>
      <c r="E75" s="316" t="s">
        <v>1542</v>
      </c>
      <c r="F75" s="316"/>
      <c r="G75" s="317"/>
      <c r="H75" s="316"/>
      <c r="I75" s="316"/>
      <c r="J75" s="316"/>
      <c r="K75" s="316"/>
      <c r="L75" s="318"/>
      <c r="M75" s="316"/>
      <c r="N75" s="319"/>
      <c r="O75" s="319"/>
      <c r="P75" s="316"/>
      <c r="Q75" s="171">
        <f>P76</f>
        <v>8000000</v>
      </c>
      <c r="R75" s="171">
        <v>4500000</v>
      </c>
      <c r="S75" s="171">
        <f>Q75-R75</f>
        <v>3500000</v>
      </c>
      <c r="T75" s="172">
        <f t="shared" si="6"/>
        <v>0.77777777777777779</v>
      </c>
      <c r="V75" s="505"/>
      <c r="W75" s="505"/>
      <c r="X75" s="505"/>
    </row>
    <row r="76" spans="1:24" s="320" customFormat="1" ht="14.45" customHeight="1">
      <c r="A76" s="313"/>
      <c r="B76" s="314"/>
      <c r="C76" s="315"/>
      <c r="D76" s="314"/>
      <c r="E76" s="377"/>
      <c r="F76" s="378" t="s">
        <v>1579</v>
      </c>
      <c r="G76" s="379"/>
      <c r="H76" s="378"/>
      <c r="I76" s="378"/>
      <c r="J76" s="378"/>
      <c r="K76" s="378"/>
      <c r="L76" s="380"/>
      <c r="M76" s="378"/>
      <c r="N76" s="381"/>
      <c r="O76" s="381"/>
      <c r="P76" s="251">
        <f>SUM(P77:P77)</f>
        <v>8000000</v>
      </c>
      <c r="Q76" s="382"/>
      <c r="R76" s="382"/>
      <c r="S76" s="382"/>
      <c r="T76" s="383"/>
      <c r="V76" s="505"/>
      <c r="W76" s="505"/>
      <c r="X76" s="505"/>
    </row>
    <row r="77" spans="1:24" s="320" customFormat="1" ht="14.45" customHeight="1">
      <c r="A77" s="313"/>
      <c r="B77" s="314"/>
      <c r="C77" s="315"/>
      <c r="D77" s="314"/>
      <c r="E77" s="386"/>
      <c r="F77" s="332" t="s">
        <v>1580</v>
      </c>
      <c r="G77" s="333">
        <v>333333.33333333331</v>
      </c>
      <c r="H77" s="328" t="s">
        <v>273</v>
      </c>
      <c r="I77" s="107">
        <v>2</v>
      </c>
      <c r="J77" s="240" t="s">
        <v>109</v>
      </c>
      <c r="K77" s="242">
        <v>12</v>
      </c>
      <c r="L77" s="329"/>
      <c r="M77" s="328"/>
      <c r="N77" s="330"/>
      <c r="O77" s="330" t="s">
        <v>281</v>
      </c>
      <c r="P77" s="328">
        <f>ROUNDUP(G77*I77*K77,-3)</f>
        <v>8000000</v>
      </c>
      <c r="Q77" s="388"/>
      <c r="R77" s="388"/>
      <c r="S77" s="388"/>
      <c r="T77" s="389"/>
      <c r="V77" s="505"/>
      <c r="W77" s="505"/>
      <c r="X77" s="505"/>
    </row>
    <row r="78" spans="1:24" ht="14.45" customHeight="1">
      <c r="A78" s="224"/>
      <c r="B78" s="225"/>
      <c r="C78" s="226"/>
      <c r="D78" s="225"/>
      <c r="E78" s="66" t="s">
        <v>1548</v>
      </c>
      <c r="F78" s="227"/>
      <c r="G78" s="228"/>
      <c r="H78" s="66"/>
      <c r="I78" s="66"/>
      <c r="J78" s="66"/>
      <c r="K78" s="66"/>
      <c r="L78" s="229"/>
      <c r="M78" s="66"/>
      <c r="N78" s="230"/>
      <c r="O78" s="230"/>
      <c r="P78" s="66"/>
      <c r="Q78" s="171">
        <f>P79</f>
        <v>8000000</v>
      </c>
      <c r="R78" s="171">
        <v>11000000</v>
      </c>
      <c r="S78" s="171">
        <f>Q78-R78</f>
        <v>-3000000</v>
      </c>
      <c r="T78" s="172">
        <f>S78/R78</f>
        <v>-0.27272727272727271</v>
      </c>
    </row>
    <row r="79" spans="1:24" ht="14.45" customHeight="1">
      <c r="A79" s="224"/>
      <c r="B79" s="225"/>
      <c r="C79" s="226"/>
      <c r="D79" s="225"/>
      <c r="E79" s="226"/>
      <c r="F79" s="231" t="s">
        <v>1549</v>
      </c>
      <c r="G79" s="249"/>
      <c r="H79" s="240"/>
      <c r="I79" s="240"/>
      <c r="J79" s="240"/>
      <c r="K79" s="240"/>
      <c r="L79" s="250"/>
      <c r="M79" s="240"/>
      <c r="N79" s="244"/>
      <c r="O79" s="244"/>
      <c r="P79" s="251">
        <f>SUM(P80:P80)</f>
        <v>8000000</v>
      </c>
      <c r="Q79" s="235"/>
      <c r="R79" s="235"/>
      <c r="S79" s="235"/>
      <c r="T79" s="325"/>
    </row>
    <row r="80" spans="1:24" ht="14.45" customHeight="1">
      <c r="A80" s="224"/>
      <c r="B80" s="225"/>
      <c r="C80" s="226"/>
      <c r="D80" s="225"/>
      <c r="E80" s="279"/>
      <c r="F80" s="391" t="s">
        <v>1550</v>
      </c>
      <c r="G80" s="358">
        <v>666666.66666666663</v>
      </c>
      <c r="H80" s="359" t="s">
        <v>282</v>
      </c>
      <c r="I80" s="284">
        <v>12</v>
      </c>
      <c r="J80" s="359"/>
      <c r="K80" s="359"/>
      <c r="L80" s="360"/>
      <c r="M80" s="359"/>
      <c r="N80" s="361"/>
      <c r="O80" s="361" t="s">
        <v>274</v>
      </c>
      <c r="P80" s="359">
        <f>ROUNDUP(G80*I80,-3)</f>
        <v>8000000</v>
      </c>
      <c r="Q80" s="287"/>
      <c r="R80" s="287"/>
      <c r="S80" s="287"/>
      <c r="T80" s="362"/>
    </row>
    <row r="81" spans="1:20" ht="14.45" customHeight="1">
      <c r="A81" s="224"/>
      <c r="B81" s="225"/>
      <c r="C81" s="393"/>
      <c r="D81" s="392"/>
      <c r="E81" s="316" t="s">
        <v>1031</v>
      </c>
      <c r="F81" s="316"/>
      <c r="G81" s="317"/>
      <c r="H81" s="316"/>
      <c r="I81" s="316"/>
      <c r="J81" s="316"/>
      <c r="K81" s="316"/>
      <c r="L81" s="318"/>
      <c r="M81" s="316"/>
      <c r="N81" s="319"/>
      <c r="O81" s="319"/>
      <c r="P81" s="316"/>
      <c r="Q81" s="171">
        <v>0</v>
      </c>
      <c r="R81" s="171">
        <v>500000</v>
      </c>
      <c r="S81" s="171">
        <f>Q81-R81</f>
        <v>-500000</v>
      </c>
      <c r="T81" s="172">
        <f>S81/R81</f>
        <v>-1</v>
      </c>
    </row>
    <row r="82" spans="1:20" ht="14.45" customHeight="1">
      <c r="A82" s="224"/>
      <c r="B82" s="225"/>
      <c r="C82" s="214" t="s">
        <v>1406</v>
      </c>
      <c r="D82" s="214"/>
      <c r="E82" s="214"/>
      <c r="F82" s="215"/>
      <c r="G82" s="216"/>
      <c r="H82" s="217"/>
      <c r="I82" s="217"/>
      <c r="J82" s="217"/>
      <c r="K82" s="217"/>
      <c r="L82" s="218"/>
      <c r="M82" s="217"/>
      <c r="N82" s="219"/>
      <c r="O82" s="219"/>
      <c r="P82" s="217"/>
      <c r="Q82" s="220">
        <f>Q83</f>
        <v>14000</v>
      </c>
      <c r="R82" s="220">
        <f>R83</f>
        <v>0</v>
      </c>
      <c r="S82" s="220">
        <f>Q82-R82</f>
        <v>14000</v>
      </c>
      <c r="T82" s="221">
        <v>1</v>
      </c>
    </row>
    <row r="83" spans="1:20" ht="14.45" customHeight="1">
      <c r="A83" s="224"/>
      <c r="B83" s="225"/>
      <c r="C83" s="213"/>
      <c r="D83" s="84" t="s">
        <v>1405</v>
      </c>
      <c r="E83" s="84"/>
      <c r="F83" s="85"/>
      <c r="G83" s="86"/>
      <c r="H83" s="84"/>
      <c r="I83" s="84"/>
      <c r="J83" s="84"/>
      <c r="K83" s="84"/>
      <c r="L83" s="83"/>
      <c r="M83" s="84"/>
      <c r="N83" s="87"/>
      <c r="O83" s="87"/>
      <c r="P83" s="84"/>
      <c r="Q83" s="76">
        <f>Q84</f>
        <v>14000</v>
      </c>
      <c r="R83" s="76">
        <f>R84</f>
        <v>0</v>
      </c>
      <c r="S83" s="76">
        <f>Q83-R83</f>
        <v>14000</v>
      </c>
      <c r="T83" s="77">
        <v>1</v>
      </c>
    </row>
    <row r="84" spans="1:20" ht="14.45" customHeight="1">
      <c r="A84" s="224"/>
      <c r="B84" s="225"/>
      <c r="C84" s="222"/>
      <c r="D84" s="213"/>
      <c r="E84" s="66" t="s">
        <v>1643</v>
      </c>
      <c r="F84" s="227"/>
      <c r="G84" s="228"/>
      <c r="H84" s="66"/>
      <c r="I84" s="66"/>
      <c r="J84" s="66"/>
      <c r="K84" s="66"/>
      <c r="L84" s="229"/>
      <c r="M84" s="66"/>
      <c r="N84" s="230"/>
      <c r="O84" s="230"/>
      <c r="P84" s="66"/>
      <c r="Q84" s="171">
        <f>ROUNDUP(P85,-3)</f>
        <v>14000</v>
      </c>
      <c r="R84" s="171">
        <v>0</v>
      </c>
      <c r="S84" s="171">
        <f>Q84-R84</f>
        <v>14000</v>
      </c>
      <c r="T84" s="172">
        <v>1</v>
      </c>
    </row>
    <row r="85" spans="1:20" ht="14.45" customHeight="1">
      <c r="A85" s="224"/>
      <c r="B85" s="225"/>
      <c r="C85" s="222"/>
      <c r="D85" s="222"/>
      <c r="E85" s="427"/>
      <c r="F85" s="240" t="s">
        <v>1640</v>
      </c>
      <c r="G85" s="249"/>
      <c r="H85" s="240"/>
      <c r="I85" s="240"/>
      <c r="J85" s="240"/>
      <c r="K85" s="240"/>
      <c r="L85" s="240"/>
      <c r="M85" s="240"/>
      <c r="N85" s="244"/>
      <c r="O85" s="251"/>
      <c r="P85" s="251">
        <f>P86</f>
        <v>14000</v>
      </c>
      <c r="Q85" s="428"/>
      <c r="R85" s="428"/>
      <c r="S85" s="428"/>
      <c r="T85" s="429"/>
    </row>
    <row r="86" spans="1:20" ht="14.45" customHeight="1" thickBot="1">
      <c r="A86" s="425"/>
      <c r="B86" s="426"/>
      <c r="C86" s="430"/>
      <c r="D86" s="430"/>
      <c r="E86" s="431"/>
      <c r="F86" s="432" t="s">
        <v>928</v>
      </c>
      <c r="G86" s="433">
        <v>14000</v>
      </c>
      <c r="H86" s="434" t="s">
        <v>273</v>
      </c>
      <c r="I86" s="435">
        <v>1</v>
      </c>
      <c r="J86" s="434"/>
      <c r="K86" s="436"/>
      <c r="L86" s="434"/>
      <c r="M86" s="434"/>
      <c r="N86" s="437"/>
      <c r="O86" s="437" t="s">
        <v>925</v>
      </c>
      <c r="P86" s="438">
        <f>G86*I86</f>
        <v>14000</v>
      </c>
      <c r="Q86" s="439"/>
      <c r="R86" s="439"/>
      <c r="S86" s="439"/>
      <c r="T86" s="440"/>
    </row>
    <row r="87" spans="1:20" ht="15" customHeight="1"/>
    <row r="88" spans="1:20" ht="15" customHeight="1"/>
    <row r="89" spans="1:20" ht="15" customHeight="1"/>
    <row r="90" spans="1:20" ht="15" customHeight="1"/>
    <row r="91" spans="1:20" ht="15" customHeight="1"/>
  </sheetData>
  <mergeCells count="15">
    <mergeCell ref="K39:L39"/>
    <mergeCell ref="I21:J21"/>
    <mergeCell ref="I25:J25"/>
    <mergeCell ref="I26:J26"/>
    <mergeCell ref="I27:J27"/>
    <mergeCell ref="I28:J28"/>
    <mergeCell ref="I29:J29"/>
    <mergeCell ref="A1:T1"/>
    <mergeCell ref="S2:T2"/>
    <mergeCell ref="A3:E3"/>
    <mergeCell ref="G3:P4"/>
    <mergeCell ref="Q3:Q4"/>
    <mergeCell ref="R3:R4"/>
    <mergeCell ref="S3:S4"/>
    <mergeCell ref="T3:T4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scale="78" firstPageNumber="104" fitToHeight="0" orientation="landscape" useFirstPageNumber="1" horizontalDpi="4294967293" r:id="rId1"/>
  <headerFooter scaleWithDoc="0" alignWithMargins="0">
    <oddFooter>&amp;C&amp;P</oddFooter>
  </headerFooter>
  <rowBreaks count="2" manualBreakCount="2">
    <brk id="36" max="19" man="1"/>
    <brk id="72" max="19" man="1"/>
  </rowBreaks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3399FF"/>
    <pageSetUpPr fitToPage="1"/>
  </sheetPr>
  <dimension ref="A1:Y89"/>
  <sheetViews>
    <sheetView view="pageBreakPreview" zoomScaleNormal="100" zoomScaleSheetLayoutView="100" workbookViewId="0">
      <pane ySplit="8" topLeftCell="A48" activePane="bottomLeft" state="frozen"/>
      <selection activeCell="V20" sqref="V20"/>
      <selection pane="bottomLeft" activeCell="V20" sqref="V20"/>
    </sheetView>
  </sheetViews>
  <sheetFormatPr defaultColWidth="9" defaultRowHeight="13.5"/>
  <cols>
    <col min="1" max="1" width="3.625" style="196" customWidth="1"/>
    <col min="2" max="4" width="3.625" style="193" customWidth="1"/>
    <col min="5" max="5" width="10.625" style="193" customWidth="1"/>
    <col min="6" max="6" width="29.125" style="194" customWidth="1"/>
    <col min="7" max="7" width="12.5" style="195" bestFit="1" customWidth="1"/>
    <col min="8" max="8" width="2.125" style="196" customWidth="1"/>
    <col min="9" max="9" width="5" style="196" customWidth="1"/>
    <col min="10" max="10" width="2.125" style="196" customWidth="1"/>
    <col min="11" max="11" width="6.375" style="196" customWidth="1"/>
    <col min="12" max="12" width="2.625" style="197" customWidth="1"/>
    <col min="13" max="13" width="5.375" style="196" customWidth="1"/>
    <col min="14" max="14" width="2.75" style="198" customWidth="1"/>
    <col min="15" max="15" width="2.625" style="198" customWidth="1"/>
    <col min="16" max="16" width="13.625" style="196" customWidth="1"/>
    <col min="17" max="17" width="10.625" style="199" customWidth="1"/>
    <col min="18" max="19" width="10.625" style="200" customWidth="1"/>
    <col min="20" max="20" width="10.625" style="289" customWidth="1"/>
    <col min="21" max="21" width="10.25" style="196" bestFit="1" customWidth="1"/>
    <col min="22" max="22" width="9" style="196"/>
    <col min="23" max="23" width="14.375" style="196" bestFit="1" customWidth="1"/>
    <col min="24" max="24" width="16.125" style="196" customWidth="1"/>
    <col min="25" max="25" width="13.25" style="196" bestFit="1" customWidth="1"/>
    <col min="26" max="16384" width="9" style="196"/>
  </cols>
  <sheetData>
    <row r="1" spans="1:24" s="192" customFormat="1" ht="35.1" customHeight="1">
      <c r="A1" s="1968" t="s">
        <v>929</v>
      </c>
      <c r="B1" s="1968"/>
      <c r="C1" s="1968"/>
      <c r="D1" s="1968"/>
      <c r="E1" s="1968"/>
      <c r="F1" s="1968"/>
      <c r="G1" s="1968"/>
      <c r="H1" s="1968"/>
      <c r="I1" s="1968"/>
      <c r="J1" s="1968"/>
      <c r="K1" s="1968"/>
      <c r="L1" s="1968"/>
      <c r="M1" s="1968"/>
      <c r="N1" s="1968"/>
      <c r="O1" s="1968"/>
      <c r="P1" s="1968"/>
      <c r="Q1" s="1968"/>
      <c r="R1" s="1968"/>
      <c r="S1" s="1968"/>
      <c r="T1" s="1968"/>
    </row>
    <row r="2" spans="1:24" ht="15" customHeight="1" thickBot="1">
      <c r="A2" s="192" t="s">
        <v>930</v>
      </c>
      <c r="S2" s="1969" t="s">
        <v>931</v>
      </c>
      <c r="T2" s="1969"/>
    </row>
    <row r="3" spans="1:24" s="201" customFormat="1" ht="14.1" customHeight="1">
      <c r="A3" s="1990" t="s">
        <v>91</v>
      </c>
      <c r="B3" s="1939"/>
      <c r="C3" s="1939"/>
      <c r="D3" s="1939"/>
      <c r="E3" s="1939"/>
      <c r="F3" s="1753"/>
      <c r="G3" s="1972" t="s">
        <v>1582</v>
      </c>
      <c r="H3" s="1972"/>
      <c r="I3" s="1972"/>
      <c r="J3" s="1972"/>
      <c r="K3" s="1972"/>
      <c r="L3" s="1972"/>
      <c r="M3" s="1972"/>
      <c r="N3" s="1972"/>
      <c r="O3" s="1972"/>
      <c r="P3" s="1973"/>
      <c r="Q3" s="1976" t="s">
        <v>932</v>
      </c>
      <c r="R3" s="1978" t="s">
        <v>933</v>
      </c>
      <c r="S3" s="1980" t="s">
        <v>934</v>
      </c>
      <c r="T3" s="1982" t="s">
        <v>935</v>
      </c>
    </row>
    <row r="4" spans="1:24" s="201" customFormat="1" ht="14.1" customHeight="1" thickBot="1">
      <c r="A4" s="1742" t="s">
        <v>97</v>
      </c>
      <c r="B4" s="1743" t="s">
        <v>98</v>
      </c>
      <c r="C4" s="1743" t="s">
        <v>99</v>
      </c>
      <c r="D4" s="1743" t="s">
        <v>100</v>
      </c>
      <c r="E4" s="1743" t="s">
        <v>101</v>
      </c>
      <c r="F4" s="1754" t="s">
        <v>102</v>
      </c>
      <c r="G4" s="1974"/>
      <c r="H4" s="1974"/>
      <c r="I4" s="1974"/>
      <c r="J4" s="1974"/>
      <c r="K4" s="1974"/>
      <c r="L4" s="1974"/>
      <c r="M4" s="1974"/>
      <c r="N4" s="1974"/>
      <c r="O4" s="1974"/>
      <c r="P4" s="1975"/>
      <c r="Q4" s="1977"/>
      <c r="R4" s="1979"/>
      <c r="S4" s="1981"/>
      <c r="T4" s="1983"/>
    </row>
    <row r="5" spans="1:24" s="192" customFormat="1" ht="14.1" customHeight="1" thickBot="1">
      <c r="A5" s="68" t="s">
        <v>2516</v>
      </c>
      <c r="B5" s="69"/>
      <c r="C5" s="69"/>
      <c r="D5" s="69"/>
      <c r="E5" s="69"/>
      <c r="F5" s="70"/>
      <c r="G5" s="71"/>
      <c r="H5" s="72"/>
      <c r="I5" s="72"/>
      <c r="J5" s="72"/>
      <c r="K5" s="72"/>
      <c r="L5" s="73"/>
      <c r="M5" s="72"/>
      <c r="N5" s="74"/>
      <c r="O5" s="74"/>
      <c r="P5" s="72"/>
      <c r="Q5" s="75">
        <f>Q6</f>
        <v>69776000</v>
      </c>
      <c r="R5" s="75">
        <f>R6</f>
        <v>52500000</v>
      </c>
      <c r="S5" s="75">
        <f>Q5-R5</f>
        <v>17276000</v>
      </c>
      <c r="T5" s="203">
        <f t="shared" ref="T5:T8" si="0">S5/R5</f>
        <v>0.32906666666666667</v>
      </c>
    </row>
    <row r="6" spans="1:24" s="192" customFormat="1" ht="14.1" customHeight="1">
      <c r="A6" s="204"/>
      <c r="B6" s="205" t="s">
        <v>936</v>
      </c>
      <c r="C6" s="206"/>
      <c r="D6" s="206"/>
      <c r="E6" s="206"/>
      <c r="F6" s="207"/>
      <c r="G6" s="208"/>
      <c r="H6" s="209"/>
      <c r="I6" s="209"/>
      <c r="J6" s="209"/>
      <c r="K6" s="209"/>
      <c r="L6" s="581"/>
      <c r="M6" s="209"/>
      <c r="N6" s="210"/>
      <c r="O6" s="210"/>
      <c r="P6" s="209"/>
      <c r="Q6" s="211">
        <f>Q7+Q54+Q65+Q73</f>
        <v>69776000</v>
      </c>
      <c r="R6" s="211">
        <f>R7+R54+R65+R73</f>
        <v>52500000</v>
      </c>
      <c r="S6" s="211">
        <f>Q6-R6</f>
        <v>17276000</v>
      </c>
      <c r="T6" s="212">
        <f t="shared" si="0"/>
        <v>0.32906666666666667</v>
      </c>
    </row>
    <row r="7" spans="1:24" s="192" customFormat="1" ht="14.1" customHeight="1">
      <c r="A7" s="204"/>
      <c r="B7" s="213"/>
      <c r="C7" s="214" t="s">
        <v>937</v>
      </c>
      <c r="D7" s="214"/>
      <c r="E7" s="214"/>
      <c r="F7" s="215"/>
      <c r="G7" s="216"/>
      <c r="H7" s="217"/>
      <c r="I7" s="217"/>
      <c r="J7" s="217"/>
      <c r="K7" s="217"/>
      <c r="L7" s="218"/>
      <c r="M7" s="217"/>
      <c r="N7" s="219"/>
      <c r="O7" s="219"/>
      <c r="P7" s="217"/>
      <c r="Q7" s="220">
        <f>Q8+Q14</f>
        <v>56870000</v>
      </c>
      <c r="R7" s="220">
        <f>R8+R14</f>
        <v>42350000</v>
      </c>
      <c r="S7" s="220">
        <f>Q7-R7</f>
        <v>14520000</v>
      </c>
      <c r="T7" s="221">
        <f t="shared" si="0"/>
        <v>0.34285714285714286</v>
      </c>
    </row>
    <row r="8" spans="1:24" s="192" customFormat="1" ht="14.1" customHeight="1">
      <c r="A8" s="204"/>
      <c r="B8" s="222"/>
      <c r="C8" s="223"/>
      <c r="D8" s="83" t="s">
        <v>801</v>
      </c>
      <c r="E8" s="84"/>
      <c r="F8" s="85"/>
      <c r="G8" s="86"/>
      <c r="H8" s="84"/>
      <c r="I8" s="84"/>
      <c r="J8" s="84"/>
      <c r="K8" s="84"/>
      <c r="L8" s="83"/>
      <c r="M8" s="84"/>
      <c r="N8" s="87"/>
      <c r="O8" s="87"/>
      <c r="P8" s="84"/>
      <c r="Q8" s="76">
        <f>SUM(Q9:Q13)</f>
        <v>37200000</v>
      </c>
      <c r="R8" s="76">
        <f>SUM(R9:R13)</f>
        <v>25200000</v>
      </c>
      <c r="S8" s="76">
        <f>Q8-R8</f>
        <v>12000000</v>
      </c>
      <c r="T8" s="77">
        <f t="shared" si="0"/>
        <v>0.47619047619047616</v>
      </c>
    </row>
    <row r="9" spans="1:24" ht="14.1" customHeight="1">
      <c r="A9" s="224"/>
      <c r="B9" s="225"/>
      <c r="C9" s="226"/>
      <c r="D9" s="225"/>
      <c r="E9" s="66" t="s">
        <v>938</v>
      </c>
      <c r="F9" s="227"/>
      <c r="G9" s="228"/>
      <c r="H9" s="66"/>
      <c r="I9" s="66"/>
      <c r="J9" s="66"/>
      <c r="K9" s="66"/>
      <c r="L9" s="229"/>
      <c r="M9" s="66"/>
      <c r="N9" s="230"/>
      <c r="O9" s="230"/>
      <c r="P9" s="66"/>
      <c r="Q9" s="171">
        <f>SUM(P10)</f>
        <v>37200000</v>
      </c>
      <c r="R9" s="171">
        <v>25200000</v>
      </c>
      <c r="S9" s="171">
        <f>Q9-R9</f>
        <v>12000000</v>
      </c>
      <c r="T9" s="172">
        <f>S9/R9</f>
        <v>0.47619047619047616</v>
      </c>
    </row>
    <row r="10" spans="1:24" ht="14.1" customHeight="1">
      <c r="A10" s="224"/>
      <c r="B10" s="225"/>
      <c r="C10" s="226"/>
      <c r="D10" s="225"/>
      <c r="E10" s="226"/>
      <c r="F10" s="231" t="s">
        <v>1587</v>
      </c>
      <c r="G10" s="232"/>
      <c r="H10" s="226"/>
      <c r="I10" s="226"/>
      <c r="J10" s="226"/>
      <c r="K10" s="226"/>
      <c r="L10" s="1386"/>
      <c r="M10" s="226"/>
      <c r="N10" s="233"/>
      <c r="O10" s="233"/>
      <c r="P10" s="234">
        <f>SUM(P11:P13)</f>
        <v>37200000</v>
      </c>
      <c r="Q10" s="101"/>
      <c r="R10" s="101"/>
      <c r="S10" s="101"/>
      <c r="T10" s="102"/>
    </row>
    <row r="11" spans="1:24" ht="14.1" customHeight="1">
      <c r="A11" s="224"/>
      <c r="B11" s="225"/>
      <c r="C11" s="226"/>
      <c r="D11" s="225"/>
      <c r="E11" s="237"/>
      <c r="F11" s="238" t="s">
        <v>1588</v>
      </c>
      <c r="G11" s="239">
        <v>1000000</v>
      </c>
      <c r="H11" s="240" t="s">
        <v>939</v>
      </c>
      <c r="I11" s="241">
        <v>2</v>
      </c>
      <c r="J11" s="240" t="s">
        <v>109</v>
      </c>
      <c r="K11" s="242">
        <v>12</v>
      </c>
      <c r="L11" s="243"/>
      <c r="M11" s="242"/>
      <c r="N11" s="244"/>
      <c r="O11" s="244" t="s">
        <v>274</v>
      </c>
      <c r="P11" s="245">
        <f>ROUNDUP(G11*I11*K11,-3)</f>
        <v>24000000</v>
      </c>
      <c r="Q11" s="235"/>
      <c r="R11" s="997"/>
      <c r="S11" s="235"/>
      <c r="T11" s="246"/>
    </row>
    <row r="12" spans="1:24" ht="14.1" customHeight="1">
      <c r="A12" s="224"/>
      <c r="B12" s="225"/>
      <c r="C12" s="226"/>
      <c r="D12" s="225"/>
      <c r="E12" s="247"/>
      <c r="F12" s="248" t="s">
        <v>1589</v>
      </c>
      <c r="G12" s="239">
        <v>800000</v>
      </c>
      <c r="H12" s="240" t="s">
        <v>277</v>
      </c>
      <c r="I12" s="241">
        <v>1</v>
      </c>
      <c r="J12" s="240" t="s">
        <v>109</v>
      </c>
      <c r="K12" s="242">
        <v>12</v>
      </c>
      <c r="L12" s="243"/>
      <c r="M12" s="242"/>
      <c r="N12" s="244"/>
      <c r="O12" s="244" t="s">
        <v>281</v>
      </c>
      <c r="P12" s="245">
        <f>ROUNDUP(G12*I12*K12,-3)</f>
        <v>9600000</v>
      </c>
      <c r="Q12" s="235"/>
      <c r="R12" s="997"/>
      <c r="S12" s="235"/>
      <c r="T12" s="246"/>
    </row>
    <row r="13" spans="1:24" ht="14.1" customHeight="1">
      <c r="A13" s="224"/>
      <c r="B13" s="225"/>
      <c r="C13" s="226"/>
      <c r="D13" s="225"/>
      <c r="E13" s="247"/>
      <c r="F13" s="248" t="s">
        <v>1590</v>
      </c>
      <c r="G13" s="239">
        <v>300000</v>
      </c>
      <c r="H13" s="240" t="s">
        <v>277</v>
      </c>
      <c r="I13" s="241">
        <v>1</v>
      </c>
      <c r="J13" s="240" t="s">
        <v>109</v>
      </c>
      <c r="K13" s="242">
        <v>12</v>
      </c>
      <c r="L13" s="243"/>
      <c r="M13" s="242"/>
      <c r="N13" s="244"/>
      <c r="O13" s="244" t="s">
        <v>281</v>
      </c>
      <c r="P13" s="245">
        <f>ROUNDUP(G13*I13*K13,-3)</f>
        <v>3600000</v>
      </c>
      <c r="Q13" s="235"/>
      <c r="R13" s="997"/>
      <c r="S13" s="235"/>
      <c r="T13" s="246"/>
      <c r="X13" s="1727"/>
    </row>
    <row r="14" spans="1:24" ht="14.1" customHeight="1">
      <c r="A14" s="224"/>
      <c r="B14" s="225"/>
      <c r="C14" s="226"/>
      <c r="D14" s="84" t="s">
        <v>382</v>
      </c>
      <c r="E14" s="84"/>
      <c r="F14" s="85"/>
      <c r="G14" s="86"/>
      <c r="H14" s="84"/>
      <c r="I14" s="84"/>
      <c r="J14" s="84"/>
      <c r="K14" s="84"/>
      <c r="L14" s="83"/>
      <c r="M14" s="84"/>
      <c r="N14" s="87"/>
      <c r="O14" s="87"/>
      <c r="P14" s="84"/>
      <c r="Q14" s="76">
        <f>SUM(Q15:Q53)</f>
        <v>19670000</v>
      </c>
      <c r="R14" s="76">
        <f>SUM(R15:R53)</f>
        <v>17150000</v>
      </c>
      <c r="S14" s="76">
        <f>Q14-R14</f>
        <v>2520000</v>
      </c>
      <c r="T14" s="135">
        <f t="shared" ref="T14:T28" si="1">S14/R14</f>
        <v>0.14693877551020409</v>
      </c>
      <c r="X14" s="1727"/>
    </row>
    <row r="15" spans="1:24" ht="14.1" customHeight="1">
      <c r="A15" s="224"/>
      <c r="B15" s="225"/>
      <c r="C15" s="226"/>
      <c r="D15" s="225"/>
      <c r="E15" s="66" t="s">
        <v>535</v>
      </c>
      <c r="F15" s="227"/>
      <c r="G15" s="228"/>
      <c r="H15" s="66"/>
      <c r="I15" s="66"/>
      <c r="J15" s="66"/>
      <c r="K15" s="66"/>
      <c r="L15" s="229"/>
      <c r="M15" s="66"/>
      <c r="N15" s="230"/>
      <c r="O15" s="230"/>
      <c r="P15" s="66"/>
      <c r="Q15" s="171">
        <f>P16</f>
        <v>2376000</v>
      </c>
      <c r="R15" s="171">
        <v>1815000</v>
      </c>
      <c r="S15" s="171">
        <f>Q15-R15</f>
        <v>561000</v>
      </c>
      <c r="T15" s="172">
        <f>S15/R15</f>
        <v>0.30909090909090908</v>
      </c>
      <c r="V15" s="276"/>
      <c r="X15" s="1727"/>
    </row>
    <row r="16" spans="1:24" ht="14.1" customHeight="1">
      <c r="A16" s="224"/>
      <c r="B16" s="225"/>
      <c r="C16" s="226"/>
      <c r="D16" s="225"/>
      <c r="E16" s="226"/>
      <c r="F16" s="231" t="s">
        <v>656</v>
      </c>
      <c r="G16" s="249"/>
      <c r="H16" s="240"/>
      <c r="I16" s="240"/>
      <c r="J16" s="240"/>
      <c r="K16" s="240"/>
      <c r="L16" s="250"/>
      <c r="M16" s="240"/>
      <c r="N16" s="244"/>
      <c r="O16" s="244"/>
      <c r="P16" s="331">
        <f>SUM(P17:P21)</f>
        <v>2376000</v>
      </c>
      <c r="Q16" s="235"/>
      <c r="R16" s="997"/>
      <c r="S16" s="235"/>
      <c r="T16" s="246"/>
      <c r="W16" s="276"/>
    </row>
    <row r="17" spans="1:25" ht="14.1" customHeight="1">
      <c r="A17" s="224"/>
      <c r="B17" s="225"/>
      <c r="C17" s="226"/>
      <c r="D17" s="225"/>
      <c r="E17" s="226"/>
      <c r="F17" s="332" t="s">
        <v>863</v>
      </c>
      <c r="G17" s="249">
        <v>23390400</v>
      </c>
      <c r="H17" s="240" t="s">
        <v>273</v>
      </c>
      <c r="I17" s="2004">
        <v>4.4999999999999998E-2</v>
      </c>
      <c r="J17" s="2004"/>
      <c r="K17" s="240"/>
      <c r="L17" s="250"/>
      <c r="M17" s="240"/>
      <c r="N17" s="244"/>
      <c r="O17" s="244" t="s">
        <v>274</v>
      </c>
      <c r="P17" s="575">
        <f>G17*I17</f>
        <v>1052568</v>
      </c>
      <c r="Q17" s="235"/>
      <c r="R17" s="997"/>
      <c r="S17" s="235"/>
      <c r="T17" s="246"/>
    </row>
    <row r="18" spans="1:25" ht="14.1" customHeight="1">
      <c r="A18" s="224"/>
      <c r="B18" s="225"/>
      <c r="C18" s="226"/>
      <c r="D18" s="225"/>
      <c r="E18" s="226"/>
      <c r="F18" s="334" t="s">
        <v>1032</v>
      </c>
      <c r="G18" s="249">
        <v>23070193.548387095</v>
      </c>
      <c r="H18" s="240" t="s">
        <v>277</v>
      </c>
      <c r="I18" s="2004">
        <v>3.1E-2</v>
      </c>
      <c r="J18" s="2004"/>
      <c r="K18" s="240"/>
      <c r="L18" s="250"/>
      <c r="M18" s="240"/>
      <c r="N18" s="244"/>
      <c r="O18" s="244" t="s">
        <v>274</v>
      </c>
      <c r="P18" s="575">
        <f t="shared" ref="P18:P21" si="2">G18*I18</f>
        <v>715176</v>
      </c>
      <c r="Q18" s="235"/>
      <c r="R18" s="997"/>
      <c r="S18" s="235"/>
      <c r="T18" s="246"/>
    </row>
    <row r="19" spans="1:25" ht="14.1" customHeight="1">
      <c r="A19" s="224"/>
      <c r="B19" s="225"/>
      <c r="C19" s="226"/>
      <c r="D19" s="225"/>
      <c r="E19" s="226"/>
      <c r="F19" s="334" t="s">
        <v>434</v>
      </c>
      <c r="G19" s="249">
        <v>643994.29386590584</v>
      </c>
      <c r="H19" s="240" t="s">
        <v>273</v>
      </c>
      <c r="I19" s="2004">
        <v>7.0099999999999996E-2</v>
      </c>
      <c r="J19" s="2004"/>
      <c r="K19" s="240"/>
      <c r="L19" s="250"/>
      <c r="M19" s="240"/>
      <c r="N19" s="244"/>
      <c r="O19" s="244" t="s">
        <v>281</v>
      </c>
      <c r="P19" s="575">
        <f t="shared" si="2"/>
        <v>45144</v>
      </c>
      <c r="Q19" s="235"/>
      <c r="R19" s="997"/>
      <c r="S19" s="235"/>
      <c r="T19" s="246"/>
    </row>
    <row r="20" spans="1:25" ht="14.1" customHeight="1">
      <c r="A20" s="224"/>
      <c r="B20" s="225"/>
      <c r="C20" s="226"/>
      <c r="D20" s="225"/>
      <c r="E20" s="226"/>
      <c r="F20" s="334" t="s">
        <v>435</v>
      </c>
      <c r="G20" s="249">
        <v>39072000</v>
      </c>
      <c r="H20" s="240" t="s">
        <v>273</v>
      </c>
      <c r="I20" s="2004">
        <v>8.9999999999999993E-3</v>
      </c>
      <c r="J20" s="2004"/>
      <c r="K20" s="240"/>
      <c r="L20" s="250"/>
      <c r="M20" s="240"/>
      <c r="N20" s="244"/>
      <c r="O20" s="244" t="s">
        <v>274</v>
      </c>
      <c r="P20" s="575">
        <f t="shared" si="2"/>
        <v>351648</v>
      </c>
      <c r="Q20" s="235"/>
      <c r="R20" s="997"/>
      <c r="S20" s="235"/>
      <c r="T20" s="246"/>
    </row>
    <row r="21" spans="1:25" ht="14.1" customHeight="1">
      <c r="A21" s="224"/>
      <c r="B21" s="225"/>
      <c r="C21" s="226"/>
      <c r="D21" s="225"/>
      <c r="E21" s="237"/>
      <c r="F21" s="334" t="s">
        <v>658</v>
      </c>
      <c r="G21" s="252">
        <v>35244000</v>
      </c>
      <c r="H21" s="240" t="s">
        <v>277</v>
      </c>
      <c r="I21" s="2004">
        <v>6.0000000000000001E-3</v>
      </c>
      <c r="J21" s="2004"/>
      <c r="K21" s="242"/>
      <c r="L21" s="243"/>
      <c r="M21" s="242"/>
      <c r="N21" s="244"/>
      <c r="O21" s="244" t="s">
        <v>274</v>
      </c>
      <c r="P21" s="575">
        <f t="shared" si="2"/>
        <v>211464</v>
      </c>
      <c r="Q21" s="235"/>
      <c r="R21" s="997"/>
      <c r="S21" s="235"/>
      <c r="T21" s="246"/>
    </row>
    <row r="22" spans="1:25" ht="14.1" customHeight="1">
      <c r="A22" s="224"/>
      <c r="B22" s="225"/>
      <c r="C22" s="226"/>
      <c r="D22" s="225"/>
      <c r="E22" s="66" t="s">
        <v>388</v>
      </c>
      <c r="F22" s="227"/>
      <c r="G22" s="228"/>
      <c r="H22" s="66"/>
      <c r="I22" s="66"/>
      <c r="J22" s="66"/>
      <c r="K22" s="66"/>
      <c r="L22" s="229"/>
      <c r="M22" s="66"/>
      <c r="N22" s="230"/>
      <c r="O22" s="230"/>
      <c r="P22" s="66"/>
      <c r="Q22" s="171">
        <f>P23</f>
        <v>540000</v>
      </c>
      <c r="R22" s="171">
        <v>1480000</v>
      </c>
      <c r="S22" s="171">
        <f>Q22-R22</f>
        <v>-940000</v>
      </c>
      <c r="T22" s="172">
        <f t="shared" si="1"/>
        <v>-0.63513513513513509</v>
      </c>
    </row>
    <row r="23" spans="1:25" ht="14.1" customHeight="1">
      <c r="A23" s="224"/>
      <c r="B23" s="225"/>
      <c r="C23" s="226"/>
      <c r="D23" s="225"/>
      <c r="E23" s="226"/>
      <c r="F23" s="231" t="s">
        <v>661</v>
      </c>
      <c r="G23" s="249"/>
      <c r="H23" s="240"/>
      <c r="I23" s="240"/>
      <c r="J23" s="240"/>
      <c r="K23" s="240"/>
      <c r="L23" s="250"/>
      <c r="M23" s="240"/>
      <c r="N23" s="244"/>
      <c r="O23" s="244"/>
      <c r="P23" s="251">
        <f>SUM(P24:P24)</f>
        <v>540000</v>
      </c>
      <c r="Q23" s="235"/>
      <c r="R23" s="997"/>
      <c r="S23" s="235"/>
      <c r="T23" s="246"/>
    </row>
    <row r="24" spans="1:25" ht="14.1" customHeight="1">
      <c r="A24" s="224"/>
      <c r="B24" s="225"/>
      <c r="C24" s="226"/>
      <c r="D24" s="225"/>
      <c r="E24" s="237"/>
      <c r="F24" s="238" t="s">
        <v>996</v>
      </c>
      <c r="G24" s="252">
        <v>45000</v>
      </c>
      <c r="H24" s="240" t="s">
        <v>273</v>
      </c>
      <c r="I24" s="242">
        <v>12</v>
      </c>
      <c r="J24" s="240"/>
      <c r="K24" s="242"/>
      <c r="L24" s="243"/>
      <c r="M24" s="242"/>
      <c r="N24" s="244"/>
      <c r="O24" s="244" t="s">
        <v>283</v>
      </c>
      <c r="P24" s="245">
        <f>ROUNDUP(G24*I24,-3)</f>
        <v>540000</v>
      </c>
      <c r="Q24" s="235"/>
      <c r="R24" s="997"/>
      <c r="S24" s="235"/>
      <c r="T24" s="246"/>
      <c r="Y24" s="1727"/>
    </row>
    <row r="25" spans="1:25" ht="14.1" customHeight="1">
      <c r="A25" s="224"/>
      <c r="B25" s="225"/>
      <c r="C25" s="226"/>
      <c r="D25" s="225"/>
      <c r="E25" s="66" t="s">
        <v>1591</v>
      </c>
      <c r="F25" s="227"/>
      <c r="G25" s="228"/>
      <c r="H25" s="66"/>
      <c r="I25" s="66"/>
      <c r="J25" s="66"/>
      <c r="K25" s="66"/>
      <c r="L25" s="229"/>
      <c r="M25" s="66"/>
      <c r="N25" s="230"/>
      <c r="O25" s="230"/>
      <c r="P25" s="66"/>
      <c r="Q25" s="171">
        <v>3600000</v>
      </c>
      <c r="R25" s="171">
        <v>3000000</v>
      </c>
      <c r="S25" s="171">
        <f>Q25-R25</f>
        <v>600000</v>
      </c>
      <c r="T25" s="172">
        <f t="shared" si="1"/>
        <v>0.2</v>
      </c>
      <c r="Y25" s="1727"/>
    </row>
    <row r="26" spans="1:25" ht="14.1" customHeight="1">
      <c r="A26" s="224"/>
      <c r="B26" s="225"/>
      <c r="C26" s="226"/>
      <c r="D26" s="225"/>
      <c r="E26" s="226"/>
      <c r="F26" s="231" t="s">
        <v>1592</v>
      </c>
      <c r="G26" s="249"/>
      <c r="H26" s="240"/>
      <c r="I26" s="240"/>
      <c r="J26" s="240"/>
      <c r="K26" s="240"/>
      <c r="L26" s="250"/>
      <c r="M26" s="240"/>
      <c r="N26" s="244"/>
      <c r="O26" s="244"/>
      <c r="P26" s="251">
        <f>SUM(P27:P27)</f>
        <v>3600000</v>
      </c>
      <c r="Q26" s="235"/>
      <c r="R26" s="997"/>
      <c r="S26" s="235"/>
      <c r="T26" s="246"/>
      <c r="W26" s="276"/>
      <c r="Y26" s="1727"/>
    </row>
    <row r="27" spans="1:25" ht="14.1" customHeight="1">
      <c r="A27" s="224"/>
      <c r="B27" s="225"/>
      <c r="C27" s="226"/>
      <c r="D27" s="225"/>
      <c r="E27" s="237"/>
      <c r="F27" s="238" t="s">
        <v>1562</v>
      </c>
      <c r="G27" s="252">
        <v>300000</v>
      </c>
      <c r="H27" s="240" t="s">
        <v>273</v>
      </c>
      <c r="I27" s="242">
        <v>12</v>
      </c>
      <c r="J27" s="240"/>
      <c r="K27" s="2001"/>
      <c r="L27" s="2001"/>
      <c r="M27" s="242"/>
      <c r="N27" s="244"/>
      <c r="O27" s="244" t="s">
        <v>274</v>
      </c>
      <c r="P27" s="245">
        <f>ROUNDUP(G27*I27,-3)</f>
        <v>3600000</v>
      </c>
      <c r="Q27" s="235"/>
      <c r="R27" s="997"/>
      <c r="S27" s="235"/>
      <c r="T27" s="246"/>
      <c r="W27" s="276"/>
      <c r="Y27" s="1727"/>
    </row>
    <row r="28" spans="1:25" ht="14.1" customHeight="1">
      <c r="A28" s="224"/>
      <c r="B28" s="225"/>
      <c r="C28" s="226"/>
      <c r="D28" s="225"/>
      <c r="E28" s="66" t="s">
        <v>1029</v>
      </c>
      <c r="F28" s="227"/>
      <c r="G28" s="228"/>
      <c r="H28" s="66"/>
      <c r="I28" s="66"/>
      <c r="J28" s="66"/>
      <c r="K28" s="66"/>
      <c r="L28" s="229"/>
      <c r="M28" s="66"/>
      <c r="N28" s="230"/>
      <c r="O28" s="230"/>
      <c r="P28" s="66"/>
      <c r="Q28" s="171">
        <f>P29</f>
        <v>600000</v>
      </c>
      <c r="R28" s="171">
        <v>600000</v>
      </c>
      <c r="S28" s="171">
        <f>Q28-R28</f>
        <v>0</v>
      </c>
      <c r="T28" s="172">
        <f t="shared" si="1"/>
        <v>0</v>
      </c>
      <c r="W28" s="276"/>
      <c r="Y28" s="1727"/>
    </row>
    <row r="29" spans="1:25" ht="14.1" customHeight="1">
      <c r="A29" s="224"/>
      <c r="B29" s="225"/>
      <c r="C29" s="226"/>
      <c r="D29" s="225"/>
      <c r="E29" s="226"/>
      <c r="F29" s="231" t="s">
        <v>1001</v>
      </c>
      <c r="G29" s="249"/>
      <c r="H29" s="240"/>
      <c r="I29" s="240"/>
      <c r="J29" s="240"/>
      <c r="K29" s="240"/>
      <c r="L29" s="250"/>
      <c r="M29" s="240"/>
      <c r="N29" s="244"/>
      <c r="O29" s="244"/>
      <c r="P29" s="251">
        <f>SUM(P30:P30)</f>
        <v>600000</v>
      </c>
      <c r="Q29" s="235"/>
      <c r="R29" s="997"/>
      <c r="S29" s="235"/>
      <c r="T29" s="246"/>
    </row>
    <row r="30" spans="1:25" ht="14.1" customHeight="1">
      <c r="A30" s="224"/>
      <c r="B30" s="225"/>
      <c r="C30" s="226"/>
      <c r="D30" s="225"/>
      <c r="E30" s="237"/>
      <c r="F30" s="238" t="s">
        <v>397</v>
      </c>
      <c r="G30" s="252">
        <v>50000</v>
      </c>
      <c r="H30" s="240" t="s">
        <v>277</v>
      </c>
      <c r="I30" s="256">
        <v>12</v>
      </c>
      <c r="J30" s="240"/>
      <c r="K30" s="242"/>
      <c r="L30" s="243"/>
      <c r="M30" s="242"/>
      <c r="N30" s="244"/>
      <c r="O30" s="244" t="s">
        <v>281</v>
      </c>
      <c r="P30" s="245">
        <f>ROUNDUP(G30*I30,-3)</f>
        <v>600000</v>
      </c>
      <c r="Q30" s="235"/>
      <c r="R30" s="997"/>
      <c r="S30" s="235"/>
      <c r="T30" s="246"/>
    </row>
    <row r="31" spans="1:25" ht="14.1" customHeight="1">
      <c r="A31" s="224"/>
      <c r="B31" s="225"/>
      <c r="C31" s="226"/>
      <c r="D31" s="225"/>
      <c r="E31" s="66" t="s">
        <v>822</v>
      </c>
      <c r="F31" s="227"/>
      <c r="G31" s="228"/>
      <c r="H31" s="66"/>
      <c r="I31" s="66"/>
      <c r="J31" s="66"/>
      <c r="K31" s="66"/>
      <c r="L31" s="229"/>
      <c r="M31" s="66"/>
      <c r="N31" s="230"/>
      <c r="O31" s="230"/>
      <c r="P31" s="66"/>
      <c r="Q31" s="171">
        <f>P32</f>
        <v>8273000</v>
      </c>
      <c r="R31" s="171">
        <v>7954000</v>
      </c>
      <c r="S31" s="171">
        <f>Q31-R31</f>
        <v>319000</v>
      </c>
      <c r="T31" s="172">
        <f t="shared" ref="T31:T45" si="3">S31/R31</f>
        <v>4.0105607241639425E-2</v>
      </c>
    </row>
    <row r="32" spans="1:25" ht="14.1" customHeight="1">
      <c r="A32" s="224"/>
      <c r="B32" s="225"/>
      <c r="C32" s="226"/>
      <c r="D32" s="225"/>
      <c r="E32" s="226"/>
      <c r="F32" s="231" t="s">
        <v>405</v>
      </c>
      <c r="G32" s="249"/>
      <c r="H32" s="240"/>
      <c r="I32" s="240"/>
      <c r="J32" s="240"/>
      <c r="K32" s="240"/>
      <c r="L32" s="250"/>
      <c r="M32" s="240"/>
      <c r="N32" s="244"/>
      <c r="O32" s="244"/>
      <c r="P32" s="251">
        <f>SUM(P33:P36)</f>
        <v>8273000</v>
      </c>
      <c r="Q32" s="235"/>
      <c r="R32" s="997"/>
      <c r="S32" s="235"/>
      <c r="T32" s="246"/>
    </row>
    <row r="33" spans="1:20" ht="14.1" customHeight="1">
      <c r="A33" s="224"/>
      <c r="B33" s="225"/>
      <c r="C33" s="226"/>
      <c r="D33" s="225"/>
      <c r="E33" s="237"/>
      <c r="F33" s="238" t="s">
        <v>1593</v>
      </c>
      <c r="G33" s="252">
        <v>6500000</v>
      </c>
      <c r="H33" s="240" t="s">
        <v>282</v>
      </c>
      <c r="I33" s="256">
        <v>1</v>
      </c>
      <c r="J33" s="240"/>
      <c r="K33" s="242"/>
      <c r="L33" s="243"/>
      <c r="M33" s="242"/>
      <c r="N33" s="244"/>
      <c r="O33" s="244" t="s">
        <v>281</v>
      </c>
      <c r="P33" s="245">
        <f>ROUNDUP(G33*I33,-3)</f>
        <v>6500000</v>
      </c>
      <c r="Q33" s="235"/>
      <c r="R33" s="997"/>
      <c r="S33" s="235"/>
      <c r="T33" s="246"/>
    </row>
    <row r="34" spans="1:20" ht="14.1" customHeight="1">
      <c r="A34" s="224"/>
      <c r="B34" s="225"/>
      <c r="C34" s="226"/>
      <c r="D34" s="225"/>
      <c r="E34" s="247"/>
      <c r="F34" s="248" t="s">
        <v>406</v>
      </c>
      <c r="G34" s="249">
        <v>55000</v>
      </c>
      <c r="H34" s="240" t="s">
        <v>282</v>
      </c>
      <c r="I34" s="1552">
        <v>1</v>
      </c>
      <c r="J34" s="240" t="s">
        <v>109</v>
      </c>
      <c r="K34" s="242">
        <v>12</v>
      </c>
      <c r="L34" s="243"/>
      <c r="M34" s="242"/>
      <c r="N34" s="244"/>
      <c r="O34" s="244" t="s">
        <v>274</v>
      </c>
      <c r="P34" s="245">
        <f>ROUNDUP(G34*I34*K34,-3)</f>
        <v>660000</v>
      </c>
      <c r="Q34" s="235"/>
      <c r="R34" s="997"/>
      <c r="S34" s="235"/>
      <c r="T34" s="246"/>
    </row>
    <row r="35" spans="1:20" ht="14.1" customHeight="1">
      <c r="A35" s="224"/>
      <c r="B35" s="225"/>
      <c r="C35" s="226"/>
      <c r="D35" s="225"/>
      <c r="E35" s="247"/>
      <c r="F35" s="248" t="s">
        <v>1594</v>
      </c>
      <c r="G35" s="249">
        <v>54810</v>
      </c>
      <c r="H35" s="240" t="s">
        <v>277</v>
      </c>
      <c r="I35" s="1552">
        <v>1</v>
      </c>
      <c r="J35" s="240" t="s">
        <v>109</v>
      </c>
      <c r="K35" s="242">
        <v>12</v>
      </c>
      <c r="L35" s="243"/>
      <c r="M35" s="242"/>
      <c r="N35" s="244"/>
      <c r="O35" s="244" t="s">
        <v>283</v>
      </c>
      <c r="P35" s="245">
        <f>ROUNDUP(G35*I35*K35,-3)</f>
        <v>658000</v>
      </c>
      <c r="Q35" s="235"/>
      <c r="R35" s="997"/>
      <c r="S35" s="235"/>
      <c r="T35" s="246"/>
    </row>
    <row r="36" spans="1:20" ht="14.1" customHeight="1">
      <c r="A36" s="576"/>
      <c r="B36" s="278"/>
      <c r="C36" s="279"/>
      <c r="D36" s="278"/>
      <c r="E36" s="280"/>
      <c r="F36" s="281" t="s">
        <v>1595</v>
      </c>
      <c r="G36" s="282">
        <v>37900</v>
      </c>
      <c r="H36" s="283" t="s">
        <v>282</v>
      </c>
      <c r="I36" s="1588">
        <v>1</v>
      </c>
      <c r="J36" s="283" t="s">
        <v>109</v>
      </c>
      <c r="K36" s="284">
        <v>12</v>
      </c>
      <c r="L36" s="1402"/>
      <c r="M36" s="284"/>
      <c r="N36" s="285"/>
      <c r="O36" s="285" t="s">
        <v>281</v>
      </c>
      <c r="P36" s="286">
        <f>ROUNDUP(G36*I36*K36,-3)</f>
        <v>455000</v>
      </c>
      <c r="Q36" s="287"/>
      <c r="R36" s="1027"/>
      <c r="S36" s="287"/>
      <c r="T36" s="288"/>
    </row>
    <row r="37" spans="1:20" ht="14.1" customHeight="1">
      <c r="A37" s="224"/>
      <c r="B37" s="225"/>
      <c r="C37" s="226"/>
      <c r="D37" s="225"/>
      <c r="E37" s="363" t="s">
        <v>1596</v>
      </c>
      <c r="F37" s="364"/>
      <c r="G37" s="365"/>
      <c r="H37" s="363"/>
      <c r="I37" s="363"/>
      <c r="J37" s="363"/>
      <c r="K37" s="363"/>
      <c r="L37" s="366"/>
      <c r="M37" s="363"/>
      <c r="N37" s="367"/>
      <c r="O37" s="367"/>
      <c r="P37" s="363"/>
      <c r="Q37" s="188">
        <f>SUM(P38,P42)</f>
        <v>2477000</v>
      </c>
      <c r="R37" s="188">
        <v>1701000</v>
      </c>
      <c r="S37" s="188">
        <f>Q37-R37</f>
        <v>776000</v>
      </c>
      <c r="T37" s="570">
        <f t="shared" si="3"/>
        <v>0.45620223398001175</v>
      </c>
    </row>
    <row r="38" spans="1:20" ht="14.1" customHeight="1">
      <c r="A38" s="224"/>
      <c r="B38" s="225"/>
      <c r="C38" s="226"/>
      <c r="D38" s="225"/>
      <c r="E38" s="226"/>
      <c r="F38" s="231" t="s">
        <v>1568</v>
      </c>
      <c r="G38" s="249"/>
      <c r="H38" s="240"/>
      <c r="I38" s="240"/>
      <c r="J38" s="240"/>
      <c r="K38" s="240"/>
      <c r="L38" s="250"/>
      <c r="M38" s="240"/>
      <c r="N38" s="244"/>
      <c r="O38" s="244"/>
      <c r="P38" s="251">
        <f>SUM(P39:P41)</f>
        <v>877000</v>
      </c>
      <c r="Q38" s="235"/>
      <c r="R38" s="997"/>
      <c r="S38" s="235"/>
      <c r="T38" s="246"/>
    </row>
    <row r="39" spans="1:20" ht="14.1" customHeight="1">
      <c r="A39" s="224"/>
      <c r="B39" s="225"/>
      <c r="C39" s="226"/>
      <c r="D39" s="225"/>
      <c r="E39" s="237"/>
      <c r="F39" s="238" t="s">
        <v>1597</v>
      </c>
      <c r="G39" s="252">
        <v>50000</v>
      </c>
      <c r="H39" s="240" t="s">
        <v>282</v>
      </c>
      <c r="I39" s="256">
        <v>4</v>
      </c>
      <c r="J39" s="240"/>
      <c r="K39" s="242"/>
      <c r="L39" s="243"/>
      <c r="M39" s="242"/>
      <c r="N39" s="244"/>
      <c r="O39" s="244" t="s">
        <v>283</v>
      </c>
      <c r="P39" s="245">
        <f>ROUNDUP(G39*I39,-3)</f>
        <v>200000</v>
      </c>
      <c r="Q39" s="235"/>
      <c r="R39" s="997"/>
      <c r="S39" s="235"/>
      <c r="T39" s="246"/>
    </row>
    <row r="40" spans="1:20" ht="14.1" customHeight="1">
      <c r="A40" s="224"/>
      <c r="B40" s="225"/>
      <c r="C40" s="226"/>
      <c r="D40" s="225"/>
      <c r="E40" s="237"/>
      <c r="F40" s="238" t="s">
        <v>1598</v>
      </c>
      <c r="G40" s="252">
        <v>477000</v>
      </c>
      <c r="H40" s="240" t="s">
        <v>277</v>
      </c>
      <c r="I40" s="256">
        <v>1</v>
      </c>
      <c r="J40" s="240"/>
      <c r="K40" s="242"/>
      <c r="L40" s="243"/>
      <c r="M40" s="242"/>
      <c r="N40" s="244"/>
      <c r="O40" s="244" t="s">
        <v>283</v>
      </c>
      <c r="P40" s="245">
        <f>ROUNDUP(G40*I40,-3)</f>
        <v>477000</v>
      </c>
      <c r="Q40" s="235"/>
      <c r="R40" s="997"/>
      <c r="S40" s="235"/>
      <c r="T40" s="246"/>
    </row>
    <row r="41" spans="1:20" ht="14.1" customHeight="1">
      <c r="A41" s="224"/>
      <c r="B41" s="225"/>
      <c r="C41" s="226"/>
      <c r="D41" s="225"/>
      <c r="E41" s="237"/>
      <c r="F41" s="238" t="s">
        <v>1599</v>
      </c>
      <c r="G41" s="252">
        <v>50000</v>
      </c>
      <c r="H41" s="339" t="s">
        <v>109</v>
      </c>
      <c r="I41" s="256">
        <v>4</v>
      </c>
      <c r="J41" s="240"/>
      <c r="K41" s="242"/>
      <c r="L41" s="243"/>
      <c r="M41" s="242"/>
      <c r="N41" s="244"/>
      <c r="O41" s="244" t="s">
        <v>283</v>
      </c>
      <c r="P41" s="245">
        <f>G41*I41</f>
        <v>200000</v>
      </c>
      <c r="Q41" s="235"/>
      <c r="R41" s="997"/>
      <c r="S41" s="235"/>
      <c r="T41" s="246"/>
    </row>
    <row r="42" spans="1:20" ht="14.1" customHeight="1">
      <c r="A42" s="224"/>
      <c r="B42" s="225"/>
      <c r="C42" s="226"/>
      <c r="D42" s="225"/>
      <c r="E42" s="226"/>
      <c r="F42" s="231" t="s">
        <v>1600</v>
      </c>
      <c r="G42" s="249"/>
      <c r="H42" s="240"/>
      <c r="I42" s="240"/>
      <c r="J42" s="240"/>
      <c r="K42" s="240"/>
      <c r="L42" s="250"/>
      <c r="M42" s="240"/>
      <c r="N42" s="244"/>
      <c r="O42" s="244"/>
      <c r="P42" s="251">
        <f>SUM(P43:P44)</f>
        <v>1600000</v>
      </c>
      <c r="Q42" s="235"/>
      <c r="R42" s="997"/>
      <c r="S42" s="235"/>
      <c r="T42" s="246"/>
    </row>
    <row r="43" spans="1:20" ht="14.1" customHeight="1">
      <c r="A43" s="224"/>
      <c r="B43" s="225"/>
      <c r="C43" s="226"/>
      <c r="D43" s="225"/>
      <c r="E43" s="237"/>
      <c r="F43" s="238" t="s">
        <v>1601</v>
      </c>
      <c r="G43" s="252">
        <v>100000</v>
      </c>
      <c r="H43" s="240" t="s">
        <v>277</v>
      </c>
      <c r="I43" s="242">
        <v>12</v>
      </c>
      <c r="J43" s="240"/>
      <c r="K43" s="242"/>
      <c r="L43" s="243"/>
      <c r="M43" s="242"/>
      <c r="N43" s="244"/>
      <c r="O43" s="244" t="s">
        <v>274</v>
      </c>
      <c r="P43" s="245">
        <f>ROUNDUP(G43*I43,-3)</f>
        <v>1200000</v>
      </c>
      <c r="Q43" s="235"/>
      <c r="R43" s="997"/>
      <c r="S43" s="235"/>
      <c r="T43" s="246"/>
    </row>
    <row r="44" spans="1:20" ht="14.1" customHeight="1">
      <c r="A44" s="224"/>
      <c r="B44" s="225"/>
      <c r="C44" s="226"/>
      <c r="D44" s="225"/>
      <c r="E44" s="237"/>
      <c r="F44" s="238" t="s">
        <v>1602</v>
      </c>
      <c r="G44" s="252">
        <v>100000</v>
      </c>
      <c r="H44" s="240" t="s">
        <v>277</v>
      </c>
      <c r="I44" s="256">
        <v>4</v>
      </c>
      <c r="J44" s="240"/>
      <c r="K44" s="242"/>
      <c r="L44" s="243"/>
      <c r="M44" s="242"/>
      <c r="N44" s="244"/>
      <c r="O44" s="244" t="s">
        <v>283</v>
      </c>
      <c r="P44" s="245">
        <f>ROUNDUP(G44*I44,-3)</f>
        <v>400000</v>
      </c>
      <c r="Q44" s="235"/>
      <c r="R44" s="997"/>
      <c r="S44" s="235"/>
      <c r="T44" s="246"/>
    </row>
    <row r="45" spans="1:20" ht="14.1" customHeight="1">
      <c r="A45" s="224"/>
      <c r="B45" s="225"/>
      <c r="C45" s="226"/>
      <c r="D45" s="225"/>
      <c r="E45" s="66" t="s">
        <v>414</v>
      </c>
      <c r="F45" s="227"/>
      <c r="G45" s="228"/>
      <c r="H45" s="66"/>
      <c r="I45" s="66"/>
      <c r="J45" s="66"/>
      <c r="K45" s="66"/>
      <c r="L45" s="229"/>
      <c r="M45" s="66"/>
      <c r="N45" s="230"/>
      <c r="O45" s="230"/>
      <c r="P45" s="66"/>
      <c r="Q45" s="171">
        <f>P46</f>
        <v>610000</v>
      </c>
      <c r="R45" s="171">
        <v>600000</v>
      </c>
      <c r="S45" s="171">
        <f>Q45-R45</f>
        <v>10000</v>
      </c>
      <c r="T45" s="172">
        <f t="shared" si="3"/>
        <v>1.6666666666666666E-2</v>
      </c>
    </row>
    <row r="46" spans="1:20" ht="14.1" customHeight="1">
      <c r="A46" s="224"/>
      <c r="B46" s="225"/>
      <c r="C46" s="226"/>
      <c r="D46" s="225"/>
      <c r="E46" s="257"/>
      <c r="F46" s="258" t="s">
        <v>825</v>
      </c>
      <c r="G46" s="259"/>
      <c r="H46" s="260"/>
      <c r="I46" s="260"/>
      <c r="J46" s="260"/>
      <c r="K46" s="260"/>
      <c r="L46" s="1553"/>
      <c r="M46" s="260"/>
      <c r="N46" s="261"/>
      <c r="O46" s="261"/>
      <c r="P46" s="262">
        <f>SUM(P47:P48)</f>
        <v>610000</v>
      </c>
      <c r="Q46" s="263"/>
      <c r="R46" s="1004"/>
      <c r="S46" s="263"/>
      <c r="T46" s="264"/>
    </row>
    <row r="47" spans="1:20" ht="14.1" customHeight="1">
      <c r="A47" s="224"/>
      <c r="B47" s="225"/>
      <c r="C47" s="226"/>
      <c r="D47" s="225"/>
      <c r="E47" s="226"/>
      <c r="F47" s="248" t="s">
        <v>1603</v>
      </c>
      <c r="G47" s="249">
        <v>5000</v>
      </c>
      <c r="H47" s="240" t="s">
        <v>282</v>
      </c>
      <c r="I47" s="241">
        <v>2</v>
      </c>
      <c r="J47" s="240" t="s">
        <v>282</v>
      </c>
      <c r="K47" s="256">
        <v>1</v>
      </c>
      <c r="L47" s="250"/>
      <c r="M47" s="240"/>
      <c r="N47" s="244"/>
      <c r="O47" s="244" t="s">
        <v>281</v>
      </c>
      <c r="P47" s="249">
        <f>G47*I47*K47</f>
        <v>10000</v>
      </c>
      <c r="Q47" s="235"/>
      <c r="R47" s="997"/>
      <c r="S47" s="235"/>
      <c r="T47" s="246"/>
    </row>
    <row r="48" spans="1:20" ht="14.1" customHeight="1">
      <c r="A48" s="224"/>
      <c r="B48" s="225"/>
      <c r="C48" s="226"/>
      <c r="D48" s="225"/>
      <c r="E48" s="247"/>
      <c r="F48" s="248" t="s">
        <v>1571</v>
      </c>
      <c r="G48" s="249">
        <v>50000</v>
      </c>
      <c r="H48" s="240" t="s">
        <v>273</v>
      </c>
      <c r="I48" s="256">
        <v>12</v>
      </c>
      <c r="J48" s="240"/>
      <c r="K48" s="242"/>
      <c r="L48" s="243"/>
      <c r="M48" s="242"/>
      <c r="N48" s="244"/>
      <c r="O48" s="244" t="s">
        <v>281</v>
      </c>
      <c r="P48" s="245">
        <f>ROUNDUP(G48*I48,-3)</f>
        <v>600000</v>
      </c>
      <c r="Q48" s="235"/>
      <c r="R48" s="997"/>
      <c r="S48" s="235"/>
      <c r="T48" s="246"/>
    </row>
    <row r="49" spans="1:20" s="826" customFormat="1" ht="14.1" customHeight="1">
      <c r="A49" s="1286"/>
      <c r="B49" s="858"/>
      <c r="C49" s="858"/>
      <c r="D49" s="858"/>
      <c r="E49" s="861" t="s">
        <v>833</v>
      </c>
      <c r="F49" s="1191"/>
      <c r="G49" s="862"/>
      <c r="H49" s="861"/>
      <c r="I49" s="861"/>
      <c r="J49" s="861"/>
      <c r="K49" s="861"/>
      <c r="L49" s="1192"/>
      <c r="M49" s="861"/>
      <c r="N49" s="863"/>
      <c r="O49" s="863"/>
      <c r="P49" s="861"/>
      <c r="Q49" s="374">
        <f>P50</f>
        <v>1194000</v>
      </c>
      <c r="R49" s="171">
        <v>0</v>
      </c>
      <c r="S49" s="374">
        <f>Q49-R49</f>
        <v>1194000</v>
      </c>
      <c r="T49" s="864">
        <v>1</v>
      </c>
    </row>
    <row r="50" spans="1:20" s="826" customFormat="1" ht="14.1" customHeight="1">
      <c r="A50" s="1286"/>
      <c r="B50" s="858"/>
      <c r="C50" s="858"/>
      <c r="D50" s="858"/>
      <c r="E50" s="1287"/>
      <c r="F50" s="1288" t="s">
        <v>1604</v>
      </c>
      <c r="G50" s="1275"/>
      <c r="H50" s="1276"/>
      <c r="I50" s="1276"/>
      <c r="J50" s="1276"/>
      <c r="K50" s="1276"/>
      <c r="L50" s="1277"/>
      <c r="M50" s="1276"/>
      <c r="N50" s="1278"/>
      <c r="O50" s="1278"/>
      <c r="P50" s="1279">
        <f>SUM(P51:P52)</f>
        <v>1194000</v>
      </c>
      <c r="Q50" s="382"/>
      <c r="R50" s="1280"/>
      <c r="S50" s="1280"/>
      <c r="T50" s="1289"/>
    </row>
    <row r="51" spans="1:20" s="826" customFormat="1" ht="14.1" customHeight="1">
      <c r="A51" s="1286"/>
      <c r="B51" s="858"/>
      <c r="C51" s="858"/>
      <c r="D51" s="858"/>
      <c r="E51" s="340"/>
      <c r="F51" s="1290" t="s">
        <v>1605</v>
      </c>
      <c r="G51" s="871">
        <v>49000</v>
      </c>
      <c r="H51" s="339" t="s">
        <v>109</v>
      </c>
      <c r="I51" s="1728">
        <v>6</v>
      </c>
      <c r="J51" s="339"/>
      <c r="K51" s="872"/>
      <c r="L51" s="1205"/>
      <c r="M51" s="1204"/>
      <c r="N51" s="866"/>
      <c r="O51" s="866" t="s">
        <v>110</v>
      </c>
      <c r="P51" s="873">
        <f>G51*I51</f>
        <v>294000</v>
      </c>
      <c r="Q51" s="388"/>
      <c r="R51" s="868"/>
      <c r="S51" s="868"/>
      <c r="T51" s="869"/>
    </row>
    <row r="52" spans="1:20" s="826" customFormat="1" ht="14.1" customHeight="1">
      <c r="A52" s="1286"/>
      <c r="B52" s="858"/>
      <c r="C52" s="858"/>
      <c r="D52" s="858"/>
      <c r="E52" s="340"/>
      <c r="F52" s="1290" t="s">
        <v>1606</v>
      </c>
      <c r="G52" s="871">
        <v>300</v>
      </c>
      <c r="H52" s="339" t="s">
        <v>109</v>
      </c>
      <c r="I52" s="1728">
        <v>2</v>
      </c>
      <c r="J52" s="339" t="s">
        <v>109</v>
      </c>
      <c r="K52" s="1786">
        <v>1500</v>
      </c>
      <c r="L52" s="1205"/>
      <c r="M52" s="1204"/>
      <c r="N52" s="866"/>
      <c r="O52" s="866" t="s">
        <v>110</v>
      </c>
      <c r="P52" s="873">
        <f>G52*I52*K52</f>
        <v>900000</v>
      </c>
      <c r="Q52" s="388"/>
      <c r="R52" s="868"/>
      <c r="S52" s="868"/>
      <c r="T52" s="869"/>
    </row>
    <row r="53" spans="1:20" ht="14.1" customHeight="1">
      <c r="A53" s="224"/>
      <c r="B53" s="225"/>
      <c r="C53" s="226"/>
      <c r="D53" s="225"/>
      <c r="E53" s="66" t="s">
        <v>76</v>
      </c>
      <c r="F53" s="227"/>
      <c r="G53" s="228"/>
      <c r="H53" s="66"/>
      <c r="I53" s="66"/>
      <c r="J53" s="66"/>
      <c r="K53" s="66"/>
      <c r="L53" s="229"/>
      <c r="M53" s="66"/>
      <c r="N53" s="230"/>
      <c r="O53" s="230"/>
      <c r="P53" s="66"/>
      <c r="Q53" s="171">
        <v>0</v>
      </c>
      <c r="R53" s="171">
        <v>0</v>
      </c>
      <c r="S53" s="171">
        <f>Q53-R53</f>
        <v>0</v>
      </c>
      <c r="T53" s="172">
        <v>0</v>
      </c>
    </row>
    <row r="54" spans="1:20" ht="14.1" customHeight="1">
      <c r="A54" s="224"/>
      <c r="B54" s="222"/>
      <c r="C54" s="214" t="s">
        <v>427</v>
      </c>
      <c r="D54" s="266"/>
      <c r="E54" s="214"/>
      <c r="F54" s="215"/>
      <c r="G54" s="216"/>
      <c r="H54" s="217"/>
      <c r="I54" s="217"/>
      <c r="J54" s="217"/>
      <c r="K54" s="217"/>
      <c r="L54" s="218"/>
      <c r="M54" s="217"/>
      <c r="N54" s="219"/>
      <c r="O54" s="219"/>
      <c r="P54" s="217"/>
      <c r="Q54" s="220">
        <f>Q55</f>
        <v>10500000</v>
      </c>
      <c r="R54" s="220">
        <f>R55</f>
        <v>10150000</v>
      </c>
      <c r="S54" s="220">
        <f>Q54-R54</f>
        <v>350000</v>
      </c>
      <c r="T54" s="221">
        <f t="shared" ref="T54:T56" si="4">S54/R54</f>
        <v>3.4482758620689655E-2</v>
      </c>
    </row>
    <row r="55" spans="1:20" ht="14.1" customHeight="1">
      <c r="A55" s="224"/>
      <c r="B55" s="222"/>
      <c r="C55" s="223"/>
      <c r="D55" s="394" t="s">
        <v>907</v>
      </c>
      <c r="E55" s="84"/>
      <c r="F55" s="85"/>
      <c r="G55" s="86"/>
      <c r="H55" s="84"/>
      <c r="I55" s="84"/>
      <c r="J55" s="84"/>
      <c r="K55" s="84"/>
      <c r="L55" s="83"/>
      <c r="M55" s="84"/>
      <c r="N55" s="87"/>
      <c r="O55" s="87"/>
      <c r="P55" s="84"/>
      <c r="Q55" s="76">
        <f>SUM(Q56:Q64)</f>
        <v>10500000</v>
      </c>
      <c r="R55" s="76">
        <f>R56</f>
        <v>10150000</v>
      </c>
      <c r="S55" s="76">
        <f>Q55-R55</f>
        <v>350000</v>
      </c>
      <c r="T55" s="77">
        <f t="shared" si="4"/>
        <v>3.4482758620689655E-2</v>
      </c>
    </row>
    <row r="56" spans="1:20" ht="14.1" customHeight="1">
      <c r="A56" s="224"/>
      <c r="B56" s="225"/>
      <c r="C56" s="226"/>
      <c r="D56" s="267"/>
      <c r="E56" s="66" t="s">
        <v>1242</v>
      </c>
      <c r="F56" s="269"/>
      <c r="G56" s="270"/>
      <c r="H56" s="268"/>
      <c r="I56" s="268"/>
      <c r="J56" s="268"/>
      <c r="K56" s="268"/>
      <c r="L56" s="1556"/>
      <c r="M56" s="268"/>
      <c r="N56" s="271"/>
      <c r="O56" s="271"/>
      <c r="P56" s="268"/>
      <c r="Q56" s="171">
        <f>SUM(P57,P62)</f>
        <v>10500000</v>
      </c>
      <c r="R56" s="171">
        <v>10150000</v>
      </c>
      <c r="S56" s="171">
        <f>Q56-R56</f>
        <v>350000</v>
      </c>
      <c r="T56" s="172">
        <f t="shared" si="4"/>
        <v>3.4482758620689655E-2</v>
      </c>
    </row>
    <row r="57" spans="1:20" ht="14.1" customHeight="1">
      <c r="A57" s="224"/>
      <c r="B57" s="225"/>
      <c r="C57" s="226"/>
      <c r="D57" s="225"/>
      <c r="E57" s="226"/>
      <c r="F57" s="231" t="s">
        <v>1607</v>
      </c>
      <c r="G57" s="249"/>
      <c r="H57" s="240"/>
      <c r="I57" s="240"/>
      <c r="J57" s="240"/>
      <c r="K57" s="240"/>
      <c r="L57" s="250"/>
      <c r="M57" s="240"/>
      <c r="N57" s="244"/>
      <c r="O57" s="244"/>
      <c r="P57" s="251">
        <f>SUM(P58:P61)</f>
        <v>5900000</v>
      </c>
      <c r="Q57" s="235"/>
      <c r="R57" s="997"/>
      <c r="S57" s="235"/>
      <c r="T57" s="246"/>
    </row>
    <row r="58" spans="1:20" ht="14.1" customHeight="1">
      <c r="A58" s="224"/>
      <c r="B58" s="225"/>
      <c r="C58" s="226"/>
      <c r="D58" s="225"/>
      <c r="E58" s="226"/>
      <c r="F58" s="248" t="s">
        <v>1608</v>
      </c>
      <c r="G58" s="249">
        <v>70000</v>
      </c>
      <c r="H58" s="240" t="s">
        <v>273</v>
      </c>
      <c r="I58" s="1674">
        <v>5</v>
      </c>
      <c r="J58" s="240" t="s">
        <v>109</v>
      </c>
      <c r="K58" s="242">
        <v>12</v>
      </c>
      <c r="L58" s="243"/>
      <c r="M58" s="242"/>
      <c r="N58" s="244"/>
      <c r="O58" s="244" t="s">
        <v>274</v>
      </c>
      <c r="P58" s="245">
        <f>ROUNDUP(G58*I58*K58,-3)</f>
        <v>4200000</v>
      </c>
      <c r="Q58" s="235"/>
      <c r="R58" s="997"/>
      <c r="S58" s="235"/>
      <c r="T58" s="246"/>
    </row>
    <row r="59" spans="1:20" ht="14.1" customHeight="1">
      <c r="A59" s="224"/>
      <c r="B59" s="225"/>
      <c r="C59" s="226"/>
      <c r="D59" s="225"/>
      <c r="E59" s="226"/>
      <c r="F59" s="248" t="s">
        <v>1609</v>
      </c>
      <c r="G59" s="249">
        <v>30000</v>
      </c>
      <c r="H59" s="240" t="s">
        <v>277</v>
      </c>
      <c r="I59" s="256">
        <v>10</v>
      </c>
      <c r="J59" s="240"/>
      <c r="K59" s="242"/>
      <c r="L59" s="243"/>
      <c r="M59" s="242"/>
      <c r="N59" s="244"/>
      <c r="O59" s="244" t="s">
        <v>274</v>
      </c>
      <c r="P59" s="245">
        <f>G59*I59</f>
        <v>300000</v>
      </c>
      <c r="Q59" s="235"/>
      <c r="R59" s="997"/>
      <c r="S59" s="235"/>
      <c r="T59" s="246"/>
    </row>
    <row r="60" spans="1:20" ht="14.1" customHeight="1">
      <c r="A60" s="224"/>
      <c r="B60" s="225"/>
      <c r="C60" s="226"/>
      <c r="D60" s="225"/>
      <c r="E60" s="226"/>
      <c r="F60" s="248" t="s">
        <v>1610</v>
      </c>
      <c r="G60" s="249">
        <v>50000</v>
      </c>
      <c r="H60" s="240" t="s">
        <v>273</v>
      </c>
      <c r="I60" s="256">
        <v>20</v>
      </c>
      <c r="J60" s="240"/>
      <c r="K60" s="242"/>
      <c r="L60" s="243"/>
      <c r="M60" s="242"/>
      <c r="N60" s="244"/>
      <c r="O60" s="244" t="s">
        <v>274</v>
      </c>
      <c r="P60" s="245">
        <f>ROUNDUP(G60*I60,-3)</f>
        <v>1000000</v>
      </c>
      <c r="Q60" s="235"/>
      <c r="R60" s="997"/>
      <c r="S60" s="235"/>
      <c r="T60" s="246"/>
    </row>
    <row r="61" spans="1:20" ht="14.1" customHeight="1">
      <c r="A61" s="224"/>
      <c r="B61" s="225"/>
      <c r="C61" s="226"/>
      <c r="D61" s="225"/>
      <c r="E61" s="226"/>
      <c r="F61" s="248" t="s">
        <v>1611</v>
      </c>
      <c r="G61" s="249">
        <v>20000</v>
      </c>
      <c r="H61" s="240" t="s">
        <v>273</v>
      </c>
      <c r="I61" s="256">
        <v>20</v>
      </c>
      <c r="J61" s="240"/>
      <c r="K61" s="242"/>
      <c r="L61" s="243"/>
      <c r="M61" s="242"/>
      <c r="N61" s="244"/>
      <c r="O61" s="244" t="s">
        <v>281</v>
      </c>
      <c r="P61" s="245">
        <f>ROUNDUP(G61*I61,-3)</f>
        <v>400000</v>
      </c>
      <c r="Q61" s="235"/>
      <c r="R61" s="997"/>
      <c r="S61" s="235"/>
      <c r="T61" s="246"/>
    </row>
    <row r="62" spans="1:20" ht="14.1" customHeight="1">
      <c r="A62" s="224"/>
      <c r="B62" s="225"/>
      <c r="C62" s="226"/>
      <c r="D62" s="225"/>
      <c r="E62" s="237"/>
      <c r="F62" s="231" t="s">
        <v>1612</v>
      </c>
      <c r="G62" s="252"/>
      <c r="H62" s="240"/>
      <c r="I62" s="256"/>
      <c r="J62" s="240"/>
      <c r="K62" s="242"/>
      <c r="L62" s="243"/>
      <c r="M62" s="242"/>
      <c r="N62" s="244"/>
      <c r="O62" s="244"/>
      <c r="P62" s="251">
        <f>SUM(P63:P64)</f>
        <v>4600000</v>
      </c>
      <c r="Q62" s="235"/>
      <c r="R62" s="997"/>
      <c r="S62" s="235"/>
      <c r="T62" s="246"/>
    </row>
    <row r="63" spans="1:20" ht="14.1" customHeight="1">
      <c r="A63" s="224"/>
      <c r="B63" s="225"/>
      <c r="C63" s="226"/>
      <c r="D63" s="225"/>
      <c r="E63" s="247"/>
      <c r="F63" s="1290" t="s">
        <v>1613</v>
      </c>
      <c r="G63" s="871">
        <v>350000</v>
      </c>
      <c r="H63" s="339" t="s">
        <v>109</v>
      </c>
      <c r="I63" s="1729">
        <v>12</v>
      </c>
      <c r="J63" s="339"/>
      <c r="K63" s="872"/>
      <c r="L63" s="1205"/>
      <c r="M63" s="1204"/>
      <c r="N63" s="866"/>
      <c r="O63" s="866" t="s">
        <v>110</v>
      </c>
      <c r="P63" s="873">
        <f>G63*I63</f>
        <v>4200000</v>
      </c>
      <c r="Q63" s="235"/>
      <c r="R63" s="997"/>
      <c r="S63" s="235"/>
      <c r="T63" s="246"/>
    </row>
    <row r="64" spans="1:20" ht="14.1" customHeight="1">
      <c r="A64" s="224"/>
      <c r="B64" s="225"/>
      <c r="C64" s="226"/>
      <c r="D64" s="225"/>
      <c r="E64" s="247"/>
      <c r="F64" s="1290" t="s">
        <v>1614</v>
      </c>
      <c r="G64" s="871">
        <v>100000</v>
      </c>
      <c r="H64" s="339" t="s">
        <v>109</v>
      </c>
      <c r="I64" s="1728">
        <v>4</v>
      </c>
      <c r="J64" s="339"/>
      <c r="K64" s="872"/>
      <c r="L64" s="1205"/>
      <c r="M64" s="1204"/>
      <c r="N64" s="866"/>
      <c r="O64" s="866" t="s">
        <v>110</v>
      </c>
      <c r="P64" s="873">
        <f>G64*I64</f>
        <v>400000</v>
      </c>
      <c r="Q64" s="235"/>
      <c r="R64" s="997"/>
      <c r="S64" s="235"/>
      <c r="T64" s="246"/>
    </row>
    <row r="65" spans="1:21" ht="14.1" customHeight="1">
      <c r="A65" s="224"/>
      <c r="B65" s="222"/>
      <c r="C65" s="214" t="s">
        <v>1017</v>
      </c>
      <c r="D65" s="266"/>
      <c r="E65" s="214"/>
      <c r="F65" s="215"/>
      <c r="G65" s="216"/>
      <c r="H65" s="217"/>
      <c r="I65" s="217"/>
      <c r="J65" s="217"/>
      <c r="K65" s="217"/>
      <c r="L65" s="218"/>
      <c r="M65" s="217"/>
      <c r="N65" s="219"/>
      <c r="O65" s="219"/>
      <c r="P65" s="217"/>
      <c r="Q65" s="220">
        <f>Q66</f>
        <v>2400000</v>
      </c>
      <c r="R65" s="594">
        <f>R66</f>
        <v>0</v>
      </c>
      <c r="S65" s="220">
        <f>Q65-R65</f>
        <v>2400000</v>
      </c>
      <c r="T65" s="306">
        <v>1</v>
      </c>
    </row>
    <row r="66" spans="1:21" ht="14.1" customHeight="1">
      <c r="A66" s="224"/>
      <c r="B66" s="222"/>
      <c r="C66" s="223"/>
      <c r="D66" s="394" t="s">
        <v>1578</v>
      </c>
      <c r="E66" s="84"/>
      <c r="F66" s="85"/>
      <c r="G66" s="86"/>
      <c r="H66" s="84"/>
      <c r="I66" s="84"/>
      <c r="J66" s="84"/>
      <c r="K66" s="84"/>
      <c r="L66" s="83"/>
      <c r="M66" s="84"/>
      <c r="N66" s="87"/>
      <c r="O66" s="87"/>
      <c r="P66" s="84"/>
      <c r="Q66" s="76">
        <f>Q67+Q70</f>
        <v>2400000</v>
      </c>
      <c r="R66" s="595">
        <f>R67+R70</f>
        <v>0</v>
      </c>
      <c r="S66" s="76">
        <f>Q66-R66</f>
        <v>2400000</v>
      </c>
      <c r="T66" s="135">
        <v>1</v>
      </c>
    </row>
    <row r="67" spans="1:21" s="320" customFormat="1" ht="14.1" customHeight="1">
      <c r="A67" s="313"/>
      <c r="B67" s="314"/>
      <c r="C67" s="315"/>
      <c r="D67" s="390"/>
      <c r="E67" s="316" t="s">
        <v>535</v>
      </c>
      <c r="F67" s="316"/>
      <c r="G67" s="317"/>
      <c r="H67" s="316"/>
      <c r="I67" s="316"/>
      <c r="J67" s="316"/>
      <c r="K67" s="316"/>
      <c r="L67" s="318"/>
      <c r="M67" s="316"/>
      <c r="N67" s="319"/>
      <c r="O67" s="319"/>
      <c r="P67" s="316"/>
      <c r="Q67" s="171">
        <f>ROUNDUP(P68,-3)</f>
        <v>1320000</v>
      </c>
      <c r="R67" s="171">
        <v>0</v>
      </c>
      <c r="S67" s="374">
        <f>Q67-R67</f>
        <v>1320000</v>
      </c>
      <c r="T67" s="172">
        <v>1</v>
      </c>
    </row>
    <row r="68" spans="1:21" s="320" customFormat="1" ht="14.1" customHeight="1">
      <c r="A68" s="313"/>
      <c r="B68" s="314"/>
      <c r="C68" s="315"/>
      <c r="D68" s="314"/>
      <c r="E68" s="395"/>
      <c r="F68" s="231" t="s">
        <v>1033</v>
      </c>
      <c r="G68" s="396"/>
      <c r="H68" s="397"/>
      <c r="I68" s="397"/>
      <c r="J68" s="397"/>
      <c r="K68" s="397"/>
      <c r="L68" s="398"/>
      <c r="M68" s="397"/>
      <c r="N68" s="399"/>
      <c r="O68" s="399"/>
      <c r="P68" s="251">
        <f>SUM(P69:P69)</f>
        <v>1320000</v>
      </c>
      <c r="Q68" s="382"/>
      <c r="R68" s="382"/>
      <c r="S68" s="382"/>
      <c r="T68" s="383"/>
    </row>
    <row r="69" spans="1:21" s="320" customFormat="1" ht="14.1" customHeight="1">
      <c r="A69" s="313"/>
      <c r="B69" s="314"/>
      <c r="C69" s="315"/>
      <c r="D69" s="314"/>
      <c r="E69" s="400"/>
      <c r="F69" s="281" t="s">
        <v>1615</v>
      </c>
      <c r="G69" s="282">
        <v>110000</v>
      </c>
      <c r="H69" s="283" t="s">
        <v>282</v>
      </c>
      <c r="I69" s="284">
        <v>12</v>
      </c>
      <c r="J69" s="240"/>
      <c r="K69" s="242"/>
      <c r="L69" s="329"/>
      <c r="M69" s="328"/>
      <c r="N69" s="330"/>
      <c r="O69" s="285" t="s">
        <v>274</v>
      </c>
      <c r="P69" s="286">
        <f>ROUNDUP(G69*I69,-3)</f>
        <v>1320000</v>
      </c>
      <c r="Q69" s="388"/>
      <c r="R69" s="388"/>
      <c r="S69" s="388"/>
      <c r="T69" s="389"/>
    </row>
    <row r="70" spans="1:21" ht="14.1" customHeight="1">
      <c r="A70" s="224"/>
      <c r="B70" s="225"/>
      <c r="C70" s="226"/>
      <c r="D70" s="225"/>
      <c r="E70" s="66" t="s">
        <v>902</v>
      </c>
      <c r="F70" s="227"/>
      <c r="G70" s="228"/>
      <c r="H70" s="66"/>
      <c r="I70" s="66"/>
      <c r="J70" s="66"/>
      <c r="K70" s="66"/>
      <c r="L70" s="229"/>
      <c r="M70" s="66"/>
      <c r="N70" s="230"/>
      <c r="O70" s="230"/>
      <c r="P70" s="66"/>
      <c r="Q70" s="171">
        <f>ROUNDUP(P71,-3)</f>
        <v>1080000</v>
      </c>
      <c r="R70" s="171">
        <v>0</v>
      </c>
      <c r="S70" s="374">
        <f>Q70-R70</f>
        <v>1080000</v>
      </c>
      <c r="T70" s="864">
        <v>1</v>
      </c>
    </row>
    <row r="71" spans="1:21" ht="14.1" customHeight="1">
      <c r="A71" s="224"/>
      <c r="B71" s="225"/>
      <c r="C71" s="226"/>
      <c r="D71" s="225"/>
      <c r="E71" s="401"/>
      <c r="F71" s="231" t="s">
        <v>1549</v>
      </c>
      <c r="G71" s="249"/>
      <c r="H71" s="240"/>
      <c r="I71" s="240"/>
      <c r="J71" s="240"/>
      <c r="K71" s="240"/>
      <c r="L71" s="250"/>
      <c r="M71" s="240"/>
      <c r="N71" s="244"/>
      <c r="O71" s="244"/>
      <c r="P71" s="251">
        <f>SUM(P72)</f>
        <v>1080000</v>
      </c>
      <c r="Q71" s="235"/>
      <c r="R71" s="235"/>
      <c r="S71" s="235"/>
      <c r="T71" s="325"/>
    </row>
    <row r="72" spans="1:21" ht="14.1" customHeight="1">
      <c r="A72" s="224"/>
      <c r="B72" s="225"/>
      <c r="C72" s="279"/>
      <c r="D72" s="278"/>
      <c r="E72" s="402"/>
      <c r="F72" s="281" t="s">
        <v>1616</v>
      </c>
      <c r="G72" s="358">
        <v>90000</v>
      </c>
      <c r="H72" s="283" t="s">
        <v>282</v>
      </c>
      <c r="I72" s="284">
        <v>12</v>
      </c>
      <c r="J72" s="359"/>
      <c r="K72" s="359"/>
      <c r="L72" s="360"/>
      <c r="M72" s="359"/>
      <c r="N72" s="361"/>
      <c r="O72" s="361" t="s">
        <v>281</v>
      </c>
      <c r="P72" s="359">
        <f>G72*I72</f>
        <v>1080000</v>
      </c>
      <c r="Q72" s="287"/>
      <c r="R72" s="287"/>
      <c r="S72" s="287"/>
      <c r="T72" s="362"/>
    </row>
    <row r="73" spans="1:21" ht="14.1" customHeight="1">
      <c r="A73" s="224"/>
      <c r="B73" s="225"/>
      <c r="C73" s="206" t="s">
        <v>1406</v>
      </c>
      <c r="D73" s="206"/>
      <c r="E73" s="206"/>
      <c r="F73" s="207"/>
      <c r="G73" s="208"/>
      <c r="H73" s="209"/>
      <c r="I73" s="209"/>
      <c r="J73" s="209"/>
      <c r="K73" s="209"/>
      <c r="L73" s="581"/>
      <c r="M73" s="209"/>
      <c r="N73" s="210"/>
      <c r="O73" s="210"/>
      <c r="P73" s="209"/>
      <c r="Q73" s="211">
        <f>Q74</f>
        <v>6000</v>
      </c>
      <c r="R73" s="211">
        <f>R74</f>
        <v>0</v>
      </c>
      <c r="S73" s="211">
        <f>Q73-R73</f>
        <v>6000</v>
      </c>
      <c r="T73" s="212">
        <v>1</v>
      </c>
    </row>
    <row r="74" spans="1:21" ht="14.1" customHeight="1">
      <c r="A74" s="224"/>
      <c r="B74" s="225"/>
      <c r="C74" s="213"/>
      <c r="D74" s="84" t="s">
        <v>1405</v>
      </c>
      <c r="E74" s="84"/>
      <c r="F74" s="85"/>
      <c r="G74" s="86"/>
      <c r="H74" s="84"/>
      <c r="I74" s="84"/>
      <c r="J74" s="84"/>
      <c r="K74" s="84"/>
      <c r="L74" s="83"/>
      <c r="M74" s="84"/>
      <c r="N74" s="87"/>
      <c r="O74" s="87"/>
      <c r="P74" s="84"/>
      <c r="Q74" s="76">
        <f>Q75</f>
        <v>6000</v>
      </c>
      <c r="R74" s="76">
        <f>R75</f>
        <v>0</v>
      </c>
      <c r="S74" s="76">
        <f>Q74-R74</f>
        <v>6000</v>
      </c>
      <c r="T74" s="77">
        <v>1</v>
      </c>
    </row>
    <row r="75" spans="1:21" ht="14.1" customHeight="1">
      <c r="A75" s="224"/>
      <c r="B75" s="225"/>
      <c r="C75" s="222"/>
      <c r="D75" s="213"/>
      <c r="E75" s="66" t="s">
        <v>1643</v>
      </c>
      <c r="F75" s="227"/>
      <c r="G75" s="228"/>
      <c r="H75" s="66"/>
      <c r="I75" s="66"/>
      <c r="J75" s="66"/>
      <c r="K75" s="66"/>
      <c r="L75" s="229"/>
      <c r="M75" s="66"/>
      <c r="N75" s="230"/>
      <c r="O75" s="230"/>
      <c r="P75" s="66"/>
      <c r="Q75" s="171">
        <f>ROUNDUP(P76,-3)</f>
        <v>6000</v>
      </c>
      <c r="R75" s="171">
        <v>0</v>
      </c>
      <c r="S75" s="171">
        <f>Q75-R75</f>
        <v>6000</v>
      </c>
      <c r="T75" s="172">
        <v>1</v>
      </c>
    </row>
    <row r="76" spans="1:21" ht="14.1" customHeight="1">
      <c r="A76" s="224"/>
      <c r="B76" s="225"/>
      <c r="C76" s="222"/>
      <c r="D76" s="222"/>
      <c r="E76" s="427"/>
      <c r="F76" s="240" t="s">
        <v>1640</v>
      </c>
      <c r="G76" s="249"/>
      <c r="H76" s="240"/>
      <c r="I76" s="240"/>
      <c r="J76" s="240"/>
      <c r="K76" s="240"/>
      <c r="L76" s="240"/>
      <c r="M76" s="240"/>
      <c r="N76" s="244"/>
      <c r="O76" s="251"/>
      <c r="P76" s="251">
        <f>P77</f>
        <v>6000</v>
      </c>
      <c r="Q76" s="428"/>
      <c r="R76" s="428"/>
      <c r="S76" s="428"/>
      <c r="T76" s="429"/>
    </row>
    <row r="77" spans="1:21" ht="14.1" customHeight="1" thickBot="1">
      <c r="A77" s="425"/>
      <c r="B77" s="426"/>
      <c r="C77" s="430"/>
      <c r="D77" s="430"/>
      <c r="E77" s="431"/>
      <c r="F77" s="432" t="s">
        <v>928</v>
      </c>
      <c r="G77" s="433">
        <v>6000</v>
      </c>
      <c r="H77" s="434" t="s">
        <v>273</v>
      </c>
      <c r="I77" s="435">
        <v>1</v>
      </c>
      <c r="J77" s="434"/>
      <c r="K77" s="436"/>
      <c r="L77" s="434"/>
      <c r="M77" s="434"/>
      <c r="N77" s="437"/>
      <c r="O77" s="437" t="s">
        <v>925</v>
      </c>
      <c r="P77" s="438">
        <f>G77*I77</f>
        <v>6000</v>
      </c>
      <c r="Q77" s="439"/>
      <c r="R77" s="439"/>
      <c r="S77" s="439"/>
      <c r="T77" s="440"/>
    </row>
    <row r="79" spans="1:21">
      <c r="P79" s="198"/>
      <c r="Q79" s="196"/>
      <c r="R79" s="199"/>
      <c r="T79" s="200"/>
      <c r="U79" s="289"/>
    </row>
    <row r="80" spans="1:21">
      <c r="P80" s="198"/>
      <c r="Q80" s="196"/>
      <c r="R80" s="199"/>
      <c r="T80" s="200"/>
      <c r="U80" s="289"/>
    </row>
    <row r="81" spans="16:21">
      <c r="P81" s="198"/>
      <c r="Q81" s="196"/>
      <c r="R81" s="199"/>
      <c r="T81" s="200"/>
      <c r="U81" s="289"/>
    </row>
    <row r="82" spans="16:21">
      <c r="P82" s="198"/>
      <c r="Q82" s="196"/>
      <c r="R82" s="199"/>
      <c r="T82" s="200"/>
      <c r="U82" s="289"/>
    </row>
    <row r="83" spans="16:21">
      <c r="P83" s="198"/>
      <c r="Q83" s="196"/>
      <c r="R83" s="199"/>
      <c r="T83" s="200"/>
      <c r="U83" s="289"/>
    </row>
    <row r="84" spans="16:21">
      <c r="P84" s="198"/>
      <c r="Q84" s="196"/>
      <c r="R84" s="199"/>
      <c r="T84" s="200"/>
      <c r="U84" s="289"/>
    </row>
    <row r="85" spans="16:21">
      <c r="P85" s="198"/>
      <c r="Q85" s="196"/>
      <c r="R85" s="199"/>
      <c r="T85" s="200"/>
      <c r="U85" s="289"/>
    </row>
    <row r="86" spans="16:21">
      <c r="P86" s="198"/>
      <c r="Q86" s="196"/>
      <c r="R86" s="199"/>
      <c r="T86" s="200"/>
      <c r="U86" s="289"/>
    </row>
    <row r="87" spans="16:21">
      <c r="P87" s="198"/>
      <c r="Q87" s="196"/>
      <c r="R87" s="199"/>
      <c r="T87" s="200"/>
      <c r="U87" s="289"/>
    </row>
    <row r="88" spans="16:21">
      <c r="P88" s="198"/>
      <c r="Q88" s="196"/>
      <c r="R88" s="199"/>
      <c r="T88" s="200"/>
      <c r="U88" s="289"/>
    </row>
    <row r="89" spans="16:21">
      <c r="P89" s="198"/>
      <c r="Q89" s="196"/>
      <c r="R89" s="199"/>
      <c r="T89" s="200"/>
      <c r="U89" s="289"/>
    </row>
  </sheetData>
  <mergeCells count="14">
    <mergeCell ref="K27:L27"/>
    <mergeCell ref="A1:T1"/>
    <mergeCell ref="S2:T2"/>
    <mergeCell ref="A3:E3"/>
    <mergeCell ref="G3:P4"/>
    <mergeCell ref="Q3:Q4"/>
    <mergeCell ref="R3:R4"/>
    <mergeCell ref="S3:S4"/>
    <mergeCell ref="T3:T4"/>
    <mergeCell ref="I17:J17"/>
    <mergeCell ref="I18:J18"/>
    <mergeCell ref="I19:J19"/>
    <mergeCell ref="I20:J20"/>
    <mergeCell ref="I21:J21"/>
  </mergeCells>
  <phoneticPr fontId="2" type="noConversion"/>
  <printOptions horizontalCentered="1"/>
  <pageMargins left="0.78740157480314965" right="0.78740157480314965" top="0.78740157480314965" bottom="0.78740157480314965" header="0.78740157480314965" footer="0.39370078740157483"/>
  <pageSetup paperSize="9" scale="78" firstPageNumber="107" fitToHeight="0" orientation="landscape" useFirstPageNumber="1" horizontalDpi="4294967293" r:id="rId1"/>
  <headerFooter scaleWithDoc="0" alignWithMargins="0">
    <oddFooter>&amp;C&amp;P</oddFooter>
  </headerFooter>
  <rowBreaks count="1" manualBreakCount="1">
    <brk id="36" max="19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37</vt:i4>
      </vt:variant>
      <vt:variant>
        <vt:lpstr>이름이 지정된 범위</vt:lpstr>
      </vt:variant>
      <vt:variant>
        <vt:i4>66</vt:i4>
      </vt:variant>
    </vt:vector>
  </HeadingPairs>
  <TitlesOfParts>
    <vt:vector size="103" baseType="lpstr">
      <vt:lpstr>표지</vt:lpstr>
      <vt:lpstr>목차</vt:lpstr>
      <vt:lpstr>간지1(예산총칙)</vt:lpstr>
      <vt:lpstr>예산총칙</vt:lpstr>
      <vt:lpstr>간지2(2018년 세입·세출예산(안))</vt:lpstr>
      <vt:lpstr>세입예산규모1</vt:lpstr>
      <vt:lpstr>세입예산총괄표2</vt:lpstr>
      <vt:lpstr>세출예산총괄표3</vt:lpstr>
      <vt:lpstr>세출총괄표4</vt:lpstr>
      <vt:lpstr>세입세출요약총괄표5</vt:lpstr>
      <vt:lpstr>세입세출세부총괄표6</vt:lpstr>
      <vt:lpstr>간지3(세입예산 사업내역서)</vt:lpstr>
      <vt:lpstr>예산세입(사무국)</vt:lpstr>
      <vt:lpstr>예산세입(마두)</vt:lpstr>
      <vt:lpstr>예산세입(진로)</vt:lpstr>
      <vt:lpstr>예산세입(성사)</vt:lpstr>
      <vt:lpstr>예산세입(탄현)</vt:lpstr>
      <vt:lpstr>예산세입(주교)</vt:lpstr>
      <vt:lpstr>예산세입(일산서구)</vt:lpstr>
      <vt:lpstr>예산세입(토당)</vt:lpstr>
      <vt:lpstr>예산세입(상담)</vt:lpstr>
      <vt:lpstr>예산세입(화정)</vt:lpstr>
      <vt:lpstr>예산세입(백마)</vt:lpstr>
      <vt:lpstr>예산세입(능곡)</vt:lpstr>
      <vt:lpstr>간지4(세출예산 사업내역서)</vt:lpstr>
      <vt:lpstr>예산세출(사무국)</vt:lpstr>
      <vt:lpstr>예산세출(마두)</vt:lpstr>
      <vt:lpstr>예산세출(진로)</vt:lpstr>
      <vt:lpstr>예산세출(성사)</vt:lpstr>
      <vt:lpstr>예산세출(탄현)</vt:lpstr>
      <vt:lpstr>예산세출(주교)</vt:lpstr>
      <vt:lpstr>예산세출(일산서구)</vt:lpstr>
      <vt:lpstr>예산세출(토당)</vt:lpstr>
      <vt:lpstr>예산세출(상담)</vt:lpstr>
      <vt:lpstr>예산세출(화정)</vt:lpstr>
      <vt:lpstr>예산세출(백마)</vt:lpstr>
      <vt:lpstr>예산세출(능곡)</vt:lpstr>
      <vt:lpstr>'간지1(예산총칙)'!Print_Area</vt:lpstr>
      <vt:lpstr>'간지2(2018년 세입·세출예산(안))'!Print_Area</vt:lpstr>
      <vt:lpstr>'간지3(세입예산 사업내역서)'!Print_Area</vt:lpstr>
      <vt:lpstr>'간지4(세출예산 사업내역서)'!Print_Area</vt:lpstr>
      <vt:lpstr>목차!Print_Area</vt:lpstr>
      <vt:lpstr>세입세출세부총괄표6!Print_Area</vt:lpstr>
      <vt:lpstr>세입세출요약총괄표5!Print_Area</vt:lpstr>
      <vt:lpstr>세입예산규모1!Print_Area</vt:lpstr>
      <vt:lpstr>세입예산총괄표2!Print_Area</vt:lpstr>
      <vt:lpstr>세출예산총괄표3!Print_Area</vt:lpstr>
      <vt:lpstr>세출총괄표4!Print_Area</vt:lpstr>
      <vt:lpstr>'예산세입(능곡)'!Print_Area</vt:lpstr>
      <vt:lpstr>'예산세입(마두)'!Print_Area</vt:lpstr>
      <vt:lpstr>'예산세입(백마)'!Print_Area</vt:lpstr>
      <vt:lpstr>'예산세입(사무국)'!Print_Area</vt:lpstr>
      <vt:lpstr>'예산세입(상담)'!Print_Area</vt:lpstr>
      <vt:lpstr>'예산세입(성사)'!Print_Area</vt:lpstr>
      <vt:lpstr>'예산세입(일산서구)'!Print_Area</vt:lpstr>
      <vt:lpstr>'예산세입(주교)'!Print_Area</vt:lpstr>
      <vt:lpstr>'예산세입(진로)'!Print_Area</vt:lpstr>
      <vt:lpstr>'예산세입(탄현)'!Print_Area</vt:lpstr>
      <vt:lpstr>'예산세입(토당)'!Print_Area</vt:lpstr>
      <vt:lpstr>'예산세입(화정)'!Print_Area</vt:lpstr>
      <vt:lpstr>'예산세출(능곡)'!Print_Area</vt:lpstr>
      <vt:lpstr>'예산세출(마두)'!Print_Area</vt:lpstr>
      <vt:lpstr>'예산세출(백마)'!Print_Area</vt:lpstr>
      <vt:lpstr>'예산세출(사무국)'!Print_Area</vt:lpstr>
      <vt:lpstr>'예산세출(상담)'!Print_Area</vt:lpstr>
      <vt:lpstr>'예산세출(성사)'!Print_Area</vt:lpstr>
      <vt:lpstr>'예산세출(일산서구)'!Print_Area</vt:lpstr>
      <vt:lpstr>'예산세출(주교)'!Print_Area</vt:lpstr>
      <vt:lpstr>'예산세출(진로)'!Print_Area</vt:lpstr>
      <vt:lpstr>'예산세출(탄현)'!Print_Area</vt:lpstr>
      <vt:lpstr>'예산세출(토당)'!Print_Area</vt:lpstr>
      <vt:lpstr>'예산세출(화정)'!Print_Area</vt:lpstr>
      <vt:lpstr>예산총칙!Print_Area</vt:lpstr>
      <vt:lpstr>표지!Print_Area</vt:lpstr>
      <vt:lpstr>세입세출세부총괄표6!Print_Titles</vt:lpstr>
      <vt:lpstr>세입세출요약총괄표5!Print_Titles</vt:lpstr>
      <vt:lpstr>세입예산총괄표2!Print_Titles</vt:lpstr>
      <vt:lpstr>세출예산총괄표3!Print_Titles</vt:lpstr>
      <vt:lpstr>세출총괄표4!Print_Titles</vt:lpstr>
      <vt:lpstr>'예산세입(능곡)'!Print_Titles</vt:lpstr>
      <vt:lpstr>'예산세입(마두)'!Print_Titles</vt:lpstr>
      <vt:lpstr>'예산세입(백마)'!Print_Titles</vt:lpstr>
      <vt:lpstr>'예산세입(사무국)'!Print_Titles</vt:lpstr>
      <vt:lpstr>'예산세입(상담)'!Print_Titles</vt:lpstr>
      <vt:lpstr>'예산세입(성사)'!Print_Titles</vt:lpstr>
      <vt:lpstr>'예산세입(일산서구)'!Print_Titles</vt:lpstr>
      <vt:lpstr>'예산세입(주교)'!Print_Titles</vt:lpstr>
      <vt:lpstr>'예산세입(진로)'!Print_Titles</vt:lpstr>
      <vt:lpstr>'예산세입(탄현)'!Print_Titles</vt:lpstr>
      <vt:lpstr>'예산세입(토당)'!Print_Titles</vt:lpstr>
      <vt:lpstr>'예산세입(화정)'!Print_Titles</vt:lpstr>
      <vt:lpstr>'예산세출(능곡)'!Print_Titles</vt:lpstr>
      <vt:lpstr>'예산세출(마두)'!Print_Titles</vt:lpstr>
      <vt:lpstr>'예산세출(백마)'!Print_Titles</vt:lpstr>
      <vt:lpstr>'예산세출(사무국)'!Print_Titles</vt:lpstr>
      <vt:lpstr>'예산세출(상담)'!Print_Titles</vt:lpstr>
      <vt:lpstr>'예산세출(성사)'!Print_Titles</vt:lpstr>
      <vt:lpstr>'예산세출(일산서구)'!Print_Titles</vt:lpstr>
      <vt:lpstr>'예산세출(주교)'!Print_Titles</vt:lpstr>
      <vt:lpstr>'예산세출(진로)'!Print_Titles</vt:lpstr>
      <vt:lpstr>'예산세출(탄현)'!Print_Titles</vt:lpstr>
      <vt:lpstr>'예산세출(토당)'!Print_Titles</vt:lpstr>
      <vt:lpstr>'예산세출(화정)'!Print_Titles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청소년재단</dc:creator>
  <cp:lastModifiedBy>samsung</cp:lastModifiedBy>
  <cp:lastPrinted>2018-01-08T07:58:17Z</cp:lastPrinted>
  <dcterms:created xsi:type="dcterms:W3CDTF">2017-09-14T01:29:56Z</dcterms:created>
  <dcterms:modified xsi:type="dcterms:W3CDTF">2018-02-02T09:49:22Z</dcterms:modified>
  <cp:contentStatus/>
</cp:coreProperties>
</file>